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W:\ДЛЯ РЭК\Инвестиции\2025\план\Обоснования\15.25.0295 Развитие CRM\"/>
    </mc:Choice>
  </mc:AlternateContent>
  <xr:revisionPtr revIDLastSave="0" documentId="13_ncr:1_{748A8976-EFC0-480F-BEA1-FA78DB248C3A}" xr6:coauthVersionLast="36" xr6:coauthVersionMax="36" xr10:uidLastSave="{00000000-0000-0000-0000-000000000000}"/>
  <bookViews>
    <workbookView xWindow="-105" yWindow="-105" windowWidth="21795" windowHeight="12975" firstSheet="1" activeTab="1" xr2:uid="{00000000-000D-0000-FFFF-FFFF00000000}"/>
  </bookViews>
  <sheets>
    <sheet name="ИПР Развитие (доработка)_пр" sheetId="2" state="hidden" r:id="rId1"/>
    <sheet name="ИПР " sheetId="3" r:id="rId2"/>
    <sheet name="БП (OPEX внедрение ПРОЕКТОВ)" sheetId="4" state="hidden" r:id="rId3"/>
    <sheet name="БП (Тех. поддержка)" sheetId="5" state="hidden" r:id="rId4"/>
    <sheet name="Клиент-онлайн" sheetId="6" state="hidden" r:id="rId5"/>
    <sheet name="Чистая база 2023_OPEX (зарыт)" sheetId="7" state="hidden" r:id="rId6"/>
    <sheet name="БП (МЭС)" sheetId="8" state="hidden" r:id="rId7"/>
    <sheet name="Расчет ТП МЭС (ОРЦ)" sheetId="9" state="hidden" r:id="rId8"/>
    <sheet name="Расчет ТП Форсаж для ТЭС-не акт" sheetId="10" state="hidden" r:id="rId9"/>
    <sheet name="БП" sheetId="11" state="hidden" r:id="rId10"/>
    <sheet name="Лист1" sheetId="12" state="hidden" r:id="rId11"/>
  </sheets>
  <definedNames>
    <definedName name="_xlnm.Print_Area" localSheetId="2">'БП (OPEX внедрение ПРОЕКТОВ)'!$A$1:$J$211</definedName>
    <definedName name="_xlnm.Print_Area" localSheetId="3">'БП (Тех. поддержка)'!$A$1:$L$254</definedName>
    <definedName name="_xlnm.Print_Area" localSheetId="1">'ИПР '!#REF!</definedName>
    <definedName name="_xlnm.Print_Area" localSheetId="0">'ИПР Развитие (доработка)_пр'!$A$1:$U$230</definedName>
  </definedNames>
  <calcPr calcId="191029"/>
</workbook>
</file>

<file path=xl/calcChain.xml><?xml version="1.0" encoding="utf-8"?>
<calcChain xmlns="http://schemas.openxmlformats.org/spreadsheetml/2006/main">
  <c r="P14" i="3" l="1"/>
  <c r="M14" i="3"/>
  <c r="J14" i="3"/>
  <c r="G14" i="3"/>
  <c r="G7" i="3"/>
  <c r="S7" i="3"/>
  <c r="S5" i="3"/>
  <c r="O14" i="3"/>
  <c r="L14" i="3"/>
  <c r="I14" i="3"/>
  <c r="F14" i="3"/>
  <c r="O5" i="3"/>
  <c r="L5" i="3"/>
  <c r="I5" i="3"/>
  <c r="F5" i="3"/>
  <c r="G5" i="3" s="1"/>
  <c r="O7" i="3"/>
  <c r="L7" i="3"/>
  <c r="I7" i="3"/>
  <c r="F7" i="3"/>
  <c r="D14" i="3"/>
  <c r="R14" i="3"/>
  <c r="C14" i="3"/>
  <c r="R13" i="3"/>
  <c r="R9" i="3"/>
  <c r="S14" i="3" l="1"/>
  <c r="C8" i="3"/>
  <c r="C9" i="3" l="1"/>
  <c r="C6" i="3"/>
  <c r="D6" i="3" s="1"/>
  <c r="R6" i="3" s="1"/>
  <c r="C7" i="3"/>
  <c r="D7" i="3" s="1"/>
  <c r="D8" i="3"/>
  <c r="C10" i="3"/>
  <c r="C11" i="3"/>
  <c r="D11" i="3" s="1"/>
  <c r="C12" i="3"/>
  <c r="D12" i="3" s="1"/>
  <c r="C5" i="3"/>
  <c r="D5" i="3" s="1"/>
  <c r="D10" i="3"/>
  <c r="R10" i="3" s="1"/>
  <c r="B9" i="3"/>
  <c r="D9" i="3" s="1"/>
  <c r="P7" i="3" l="1"/>
  <c r="M7" i="3"/>
  <c r="J7" i="3"/>
  <c r="P5" i="3"/>
  <c r="M5" i="3"/>
  <c r="J5" i="3"/>
  <c r="H146" i="11" l="1"/>
  <c r="G146" i="11"/>
  <c r="F146" i="11"/>
  <c r="E146" i="11"/>
  <c r="D146" i="11"/>
  <c r="C146" i="11"/>
  <c r="G76" i="11"/>
  <c r="F76" i="11"/>
  <c r="E76" i="11"/>
  <c r="D76" i="11"/>
  <c r="C76" i="11"/>
  <c r="H75" i="11"/>
  <c r="H74" i="11"/>
  <c r="H73" i="11"/>
  <c r="H72" i="11"/>
  <c r="H71" i="11"/>
  <c r="H70" i="11"/>
  <c r="H69" i="11"/>
  <c r="H68" i="11"/>
  <c r="H67" i="11"/>
  <c r="H66" i="11"/>
  <c r="H65" i="11"/>
  <c r="G63" i="11"/>
  <c r="F63" i="11"/>
  <c r="E63" i="11"/>
  <c r="D63" i="11"/>
  <c r="C63" i="11"/>
  <c r="H62" i="11"/>
  <c r="H61" i="11"/>
  <c r="H60" i="11"/>
  <c r="H59" i="11"/>
  <c r="H58" i="11"/>
  <c r="H56" i="11"/>
  <c r="H55" i="11"/>
  <c r="H54" i="11"/>
  <c r="H53" i="11"/>
  <c r="H52" i="11"/>
  <c r="H51" i="11"/>
  <c r="H50" i="11"/>
  <c r="H49" i="11"/>
  <c r="H63" i="11" s="1"/>
  <c r="H48" i="11"/>
  <c r="H47" i="11"/>
  <c r="H46" i="11"/>
  <c r="G44" i="11"/>
  <c r="F44" i="11"/>
  <c r="E44" i="11"/>
  <c r="D44" i="11"/>
  <c r="C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G26" i="11"/>
  <c r="F26" i="11"/>
  <c r="E26" i="11"/>
  <c r="D26" i="11"/>
  <c r="C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B10" i="10"/>
  <c r="E8" i="10"/>
  <c r="G8" i="10" s="1"/>
  <c r="D8" i="10"/>
  <c r="D4" i="10"/>
  <c r="H7" i="9"/>
  <c r="I6" i="9"/>
  <c r="F6" i="9"/>
  <c r="C6" i="9"/>
  <c r="C5" i="9"/>
  <c r="F5" i="9" s="1"/>
  <c r="C4" i="9"/>
  <c r="C7" i="9" s="1"/>
  <c r="D4" i="9" s="1"/>
  <c r="G33" i="8"/>
  <c r="F33" i="8"/>
  <c r="E33" i="8"/>
  <c r="D33" i="8"/>
  <c r="C33" i="8"/>
  <c r="H32" i="8"/>
  <c r="H31" i="8"/>
  <c r="H30" i="8"/>
  <c r="H29" i="8"/>
  <c r="H28" i="8"/>
  <c r="H27" i="8"/>
  <c r="H26" i="8"/>
  <c r="J25" i="8"/>
  <c r="H25" i="8"/>
  <c r="H24" i="8"/>
  <c r="H23" i="8"/>
  <c r="H22" i="8"/>
  <c r="H21" i="8"/>
  <c r="H20" i="8"/>
  <c r="H19" i="8"/>
  <c r="H18" i="8"/>
  <c r="H17" i="8"/>
  <c r="H16" i="8"/>
  <c r="H15" i="8"/>
  <c r="H14" i="8"/>
  <c r="H33" i="8" s="1"/>
  <c r="C25" i="7"/>
  <c r="C24" i="7"/>
  <c r="D26" i="7" s="1"/>
  <c r="D19" i="7"/>
  <c r="C19" i="7"/>
  <c r="C18" i="7"/>
  <c r="D126" i="6"/>
  <c r="C126" i="6"/>
  <c r="B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G106" i="6"/>
  <c r="F106" i="6"/>
  <c r="E106" i="6"/>
  <c r="D106" i="6"/>
  <c r="C106" i="6"/>
  <c r="B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G85" i="6"/>
  <c r="F85" i="6"/>
  <c r="E85" i="6"/>
  <c r="D85" i="6"/>
  <c r="C85" i="6"/>
  <c r="B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G62" i="6"/>
  <c r="F62" i="6"/>
  <c r="E62" i="6"/>
  <c r="D62" i="6"/>
  <c r="C62" i="6"/>
  <c r="B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G40" i="6"/>
  <c r="F40" i="6"/>
  <c r="E40" i="6"/>
  <c r="D40" i="6"/>
  <c r="C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G20" i="6"/>
  <c r="F20" i="6"/>
  <c r="E20" i="6"/>
  <c r="D20" i="6"/>
  <c r="C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20" i="6" s="1"/>
  <c r="H4" i="6"/>
  <c r="H3" i="6"/>
  <c r="K254" i="5"/>
  <c r="J254" i="5"/>
  <c r="I254" i="5"/>
  <c r="H254" i="5"/>
  <c r="G254" i="5"/>
  <c r="F254" i="5"/>
  <c r="E254" i="5"/>
  <c r="D254" i="5"/>
  <c r="C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K236" i="5"/>
  <c r="J236" i="5"/>
  <c r="I236" i="5"/>
  <c r="H236" i="5"/>
  <c r="G236" i="5"/>
  <c r="F236" i="5"/>
  <c r="E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K217" i="5"/>
  <c r="J217" i="5"/>
  <c r="I217" i="5"/>
  <c r="H217" i="5"/>
  <c r="G217" i="5"/>
  <c r="F217" i="5"/>
  <c r="E217" i="5"/>
  <c r="D217" i="5"/>
  <c r="C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K197" i="5"/>
  <c r="J197" i="5"/>
  <c r="I197" i="5"/>
  <c r="H197" i="5"/>
  <c r="G197" i="5"/>
  <c r="F197" i="5"/>
  <c r="E197" i="5"/>
  <c r="D197" i="5"/>
  <c r="C197" i="5"/>
  <c r="L196" i="5"/>
  <c r="L195" i="5"/>
  <c r="L194" i="5"/>
  <c r="L193" i="5"/>
  <c r="L192" i="5"/>
  <c r="L191" i="5"/>
  <c r="L190" i="5"/>
  <c r="L189" i="5"/>
  <c r="L188" i="5"/>
  <c r="L187" i="5"/>
  <c r="K184" i="5"/>
  <c r="J184" i="5"/>
  <c r="I184" i="5"/>
  <c r="H184" i="5"/>
  <c r="G184" i="5"/>
  <c r="F184" i="5"/>
  <c r="E184" i="5"/>
  <c r="D184" i="5"/>
  <c r="C184" i="5"/>
  <c r="L183" i="5"/>
  <c r="L184" i="5" s="1"/>
  <c r="K181" i="5"/>
  <c r="F181" i="5"/>
  <c r="E181" i="5"/>
  <c r="D181" i="5"/>
  <c r="C181" i="5"/>
  <c r="L180" i="5"/>
  <c r="L179" i="5"/>
  <c r="L178" i="5"/>
  <c r="L177" i="5"/>
  <c r="L176" i="5"/>
  <c r="L175" i="5"/>
  <c r="L174" i="5"/>
  <c r="L173" i="5"/>
  <c r="L172" i="5"/>
  <c r="J171" i="5"/>
  <c r="J181" i="5" s="1"/>
  <c r="I171" i="5"/>
  <c r="I181" i="5" s="1"/>
  <c r="H171" i="5"/>
  <c r="H181" i="5" s="1"/>
  <c r="G171" i="5"/>
  <c r="G181" i="5" s="1"/>
  <c r="L170" i="5"/>
  <c r="K168" i="5"/>
  <c r="J168" i="5"/>
  <c r="I168" i="5"/>
  <c r="H168" i="5"/>
  <c r="G168" i="5"/>
  <c r="F168" i="5"/>
  <c r="E168" i="5"/>
  <c r="D168" i="5"/>
  <c r="C168" i="5"/>
  <c r="L167" i="5"/>
  <c r="L166" i="5"/>
  <c r="L165" i="5"/>
  <c r="L164" i="5"/>
  <c r="L163" i="5"/>
  <c r="L162" i="5"/>
  <c r="L161" i="5"/>
  <c r="L160" i="5"/>
  <c r="L159" i="5"/>
  <c r="L158" i="5"/>
  <c r="L168" i="5" s="1"/>
  <c r="L157" i="5"/>
  <c r="K154" i="5"/>
  <c r="J154" i="5"/>
  <c r="I154" i="5"/>
  <c r="H154" i="5"/>
  <c r="G154" i="5"/>
  <c r="F154" i="5"/>
  <c r="E154" i="5"/>
  <c r="D154" i="5"/>
  <c r="C154" i="5"/>
  <c r="L153" i="5"/>
  <c r="L152" i="5"/>
  <c r="L151" i="5"/>
  <c r="L150" i="5"/>
  <c r="L149" i="5"/>
  <c r="L148" i="5"/>
  <c r="L147" i="5"/>
  <c r="L146" i="5"/>
  <c r="L145" i="5"/>
  <c r="L144" i="5"/>
  <c r="L154" i="5" s="1"/>
  <c r="K142" i="5"/>
  <c r="J142" i="5"/>
  <c r="I142" i="5"/>
  <c r="H142" i="5"/>
  <c r="G142" i="5"/>
  <c r="F142" i="5"/>
  <c r="E142" i="5"/>
  <c r="D142" i="5"/>
  <c r="C142" i="5"/>
  <c r="L141" i="5"/>
  <c r="L140" i="5"/>
  <c r="L139" i="5"/>
  <c r="L138" i="5"/>
  <c r="L137" i="5"/>
  <c r="L136" i="5"/>
  <c r="L135" i="5"/>
  <c r="L134" i="5"/>
  <c r="L133" i="5"/>
  <c r="L132" i="5"/>
  <c r="L131" i="5"/>
  <c r="L142" i="5" s="1"/>
  <c r="K129" i="5"/>
  <c r="J129" i="5"/>
  <c r="I129" i="5"/>
  <c r="H129" i="5"/>
  <c r="G129" i="5"/>
  <c r="F129" i="5"/>
  <c r="E129" i="5"/>
  <c r="D129" i="5"/>
  <c r="C129" i="5"/>
  <c r="L128" i="5"/>
  <c r="L127" i="5"/>
  <c r="L126" i="5"/>
  <c r="L125" i="5"/>
  <c r="L124" i="5"/>
  <c r="L123" i="5"/>
  <c r="L122" i="5"/>
  <c r="L121" i="5"/>
  <c r="L120" i="5"/>
  <c r="L119" i="5"/>
  <c r="L118" i="5"/>
  <c r="L129" i="5" s="1"/>
  <c r="K116" i="5"/>
  <c r="J116" i="5"/>
  <c r="I116" i="5"/>
  <c r="H116" i="5"/>
  <c r="G116" i="5"/>
  <c r="F116" i="5"/>
  <c r="E116" i="5"/>
  <c r="D116" i="5"/>
  <c r="C116" i="5"/>
  <c r="L115" i="5"/>
  <c r="L114" i="5"/>
  <c r="L113" i="5"/>
  <c r="L112" i="5"/>
  <c r="L111" i="5"/>
  <c r="L110" i="5"/>
  <c r="L109" i="5"/>
  <c r="L108" i="5"/>
  <c r="L107" i="5"/>
  <c r="L106" i="5"/>
  <c r="L105" i="5"/>
  <c r="L116" i="5" s="1"/>
  <c r="K103" i="5"/>
  <c r="J103" i="5"/>
  <c r="I103" i="5"/>
  <c r="H103" i="5"/>
  <c r="G103" i="5"/>
  <c r="F103" i="5"/>
  <c r="E103" i="5"/>
  <c r="D103" i="5"/>
  <c r="C103" i="5"/>
  <c r="L102" i="5"/>
  <c r="L101" i="5"/>
  <c r="L100" i="5"/>
  <c r="L99" i="5"/>
  <c r="L98" i="5"/>
  <c r="L97" i="5"/>
  <c r="L96" i="5"/>
  <c r="L95" i="5"/>
  <c r="L94" i="5"/>
  <c r="L93" i="5"/>
  <c r="K91" i="5"/>
  <c r="J91" i="5"/>
  <c r="I91" i="5"/>
  <c r="H91" i="5"/>
  <c r="G91" i="5"/>
  <c r="F91" i="5"/>
  <c r="D91" i="5"/>
  <c r="C91" i="5"/>
  <c r="L90" i="5"/>
  <c r="L89" i="5"/>
  <c r="E89" i="5"/>
  <c r="L88" i="5"/>
  <c r="E88" i="5"/>
  <c r="L87" i="5"/>
  <c r="L86" i="5"/>
  <c r="E86" i="5"/>
  <c r="L85" i="5"/>
  <c r="E85" i="5"/>
  <c r="L84" i="5"/>
  <c r="E84" i="5"/>
  <c r="L83" i="5"/>
  <c r="E83" i="5"/>
  <c r="L82" i="5"/>
  <c r="E82" i="5"/>
  <c r="L81" i="5"/>
  <c r="E81" i="5"/>
  <c r="L80" i="5"/>
  <c r="K78" i="5"/>
  <c r="J78" i="5"/>
  <c r="I78" i="5"/>
  <c r="H78" i="5"/>
  <c r="G78" i="5"/>
  <c r="F78" i="5"/>
  <c r="E78" i="5"/>
  <c r="D78" i="5"/>
  <c r="C78" i="5"/>
  <c r="L77" i="5"/>
  <c r="L76" i="5"/>
  <c r="K74" i="5"/>
  <c r="J74" i="5"/>
  <c r="I74" i="5"/>
  <c r="H74" i="5"/>
  <c r="G74" i="5"/>
  <c r="M73" i="5"/>
  <c r="F73" i="5" s="1"/>
  <c r="L73" i="5"/>
  <c r="E73" i="5"/>
  <c r="E74" i="5" s="1"/>
  <c r="D73" i="5"/>
  <c r="D74" i="5" s="1"/>
  <c r="C73" i="5"/>
  <c r="M72" i="5"/>
  <c r="F72" i="5" s="1"/>
  <c r="L72" i="5"/>
  <c r="M71" i="5"/>
  <c r="F71" i="5" s="1"/>
  <c r="L71" i="5"/>
  <c r="M70" i="5"/>
  <c r="F70" i="5" s="1"/>
  <c r="L70" i="5"/>
  <c r="M69" i="5"/>
  <c r="F69" i="5" s="1"/>
  <c r="L69" i="5"/>
  <c r="M68" i="5"/>
  <c r="F68" i="5" s="1"/>
  <c r="L68" i="5"/>
  <c r="M67" i="5"/>
  <c r="F67" i="5" s="1"/>
  <c r="L67" i="5"/>
  <c r="M66" i="5"/>
  <c r="F66" i="5" s="1"/>
  <c r="L66" i="5"/>
  <c r="M65" i="5"/>
  <c r="F65" i="5" s="1"/>
  <c r="L65" i="5"/>
  <c r="M64" i="5"/>
  <c r="F64" i="5" s="1"/>
  <c r="L64" i="5"/>
  <c r="M63" i="5"/>
  <c r="F63" i="5" s="1"/>
  <c r="L63" i="5"/>
  <c r="M62" i="5"/>
  <c r="F62" i="5" s="1"/>
  <c r="L62" i="5"/>
  <c r="C62" i="5"/>
  <c r="M61" i="5"/>
  <c r="F61" i="5" s="1"/>
  <c r="L61" i="5"/>
  <c r="C61" i="5"/>
  <c r="M60" i="5"/>
  <c r="F60" i="5" s="1"/>
  <c r="L60" i="5"/>
  <c r="C60" i="5"/>
  <c r="L59" i="5"/>
  <c r="F59" i="5"/>
  <c r="C59" i="5"/>
  <c r="M58" i="5"/>
  <c r="F58" i="5" s="1"/>
  <c r="L58" i="5"/>
  <c r="C58" i="5"/>
  <c r="M57" i="5"/>
  <c r="L57" i="5"/>
  <c r="F57" i="5"/>
  <c r="C57" i="5"/>
  <c r="M56" i="5"/>
  <c r="F56" i="5" s="1"/>
  <c r="L56" i="5"/>
  <c r="C56" i="5"/>
  <c r="K54" i="5"/>
  <c r="J54" i="5"/>
  <c r="I54" i="5"/>
  <c r="H54" i="5"/>
  <c r="G54" i="5"/>
  <c r="F54" i="5"/>
  <c r="L53" i="5"/>
  <c r="E53" i="5"/>
  <c r="D53" i="5"/>
  <c r="L52" i="5"/>
  <c r="E52" i="5"/>
  <c r="L51" i="5"/>
  <c r="E51" i="5"/>
  <c r="L50" i="5"/>
  <c r="E50" i="5"/>
  <c r="L49" i="5"/>
  <c r="E49" i="5"/>
  <c r="L48" i="5"/>
  <c r="E48" i="5"/>
  <c r="D48" i="5"/>
  <c r="L47" i="5"/>
  <c r="E47" i="5"/>
  <c r="L46" i="5"/>
  <c r="E46" i="5"/>
  <c r="L45" i="5"/>
  <c r="L54" i="5" s="1"/>
  <c r="E45" i="5"/>
  <c r="L44" i="5"/>
  <c r="L42" i="5"/>
  <c r="E42" i="5"/>
  <c r="K40" i="5"/>
  <c r="J40" i="5"/>
  <c r="I40" i="5"/>
  <c r="H40" i="5"/>
  <c r="G40" i="5"/>
  <c r="F40" i="5"/>
  <c r="E40" i="5"/>
  <c r="D40" i="5"/>
  <c r="C40" i="5"/>
  <c r="L39" i="5"/>
  <c r="L38" i="5"/>
  <c r="L37" i="5"/>
  <c r="L36" i="5"/>
  <c r="L35" i="5"/>
  <c r="L34" i="5"/>
  <c r="L33" i="5"/>
  <c r="L32" i="5"/>
  <c r="L31" i="5"/>
  <c r="L30" i="5"/>
  <c r="L29" i="5"/>
  <c r="L40" i="5" s="1"/>
  <c r="L28" i="5"/>
  <c r="K26" i="5"/>
  <c r="J26" i="5"/>
  <c r="I26" i="5"/>
  <c r="H26" i="5"/>
  <c r="G26" i="5"/>
  <c r="F26" i="5"/>
  <c r="E26" i="5"/>
  <c r="C26" i="5"/>
  <c r="L25" i="5"/>
  <c r="L24" i="5"/>
  <c r="L23" i="5"/>
  <c r="L22" i="5"/>
  <c r="L21" i="5"/>
  <c r="D21" i="5"/>
  <c r="L20" i="5"/>
  <c r="D20" i="5"/>
  <c r="L19" i="5"/>
  <c r="D19" i="5"/>
  <c r="L18" i="5"/>
  <c r="D18" i="5"/>
  <c r="L17" i="5"/>
  <c r="D17" i="5"/>
  <c r="L16" i="5"/>
  <c r="L26" i="5" s="1"/>
  <c r="D16" i="5"/>
  <c r="L15" i="5"/>
  <c r="I191" i="4"/>
  <c r="D191" i="4"/>
  <c r="C191" i="4"/>
  <c r="J190" i="4"/>
  <c r="J189" i="4"/>
  <c r="J188" i="4"/>
  <c r="J187" i="4"/>
  <c r="H186" i="4"/>
  <c r="G186" i="4"/>
  <c r="F186" i="4"/>
  <c r="E186" i="4"/>
  <c r="J186" i="4" s="1"/>
  <c r="J185" i="4"/>
  <c r="J184" i="4"/>
  <c r="J183" i="4"/>
  <c r="J182" i="4"/>
  <c r="H181" i="4"/>
  <c r="G181" i="4"/>
  <c r="F181" i="4"/>
  <c r="E181" i="4"/>
  <c r="J180" i="4"/>
  <c r="J179" i="4"/>
  <c r="J178" i="4"/>
  <c r="J177" i="4"/>
  <c r="H176" i="4"/>
  <c r="G176" i="4"/>
  <c r="F176" i="4"/>
  <c r="E176" i="4"/>
  <c r="J176" i="4" s="1"/>
  <c r="J175" i="4"/>
  <c r="J174" i="4"/>
  <c r="J173" i="4"/>
  <c r="J172" i="4"/>
  <c r="H171" i="4"/>
  <c r="G171" i="4"/>
  <c r="F171" i="4"/>
  <c r="E171" i="4"/>
  <c r="J170" i="4"/>
  <c r="J169" i="4"/>
  <c r="J168" i="4"/>
  <c r="J167" i="4"/>
  <c r="H166" i="4"/>
  <c r="G166" i="4"/>
  <c r="F166" i="4"/>
  <c r="E166" i="4"/>
  <c r="J166" i="4" s="1"/>
  <c r="J165" i="4"/>
  <c r="J164" i="4"/>
  <c r="J163" i="4"/>
  <c r="J162" i="4"/>
  <c r="H161" i="4"/>
  <c r="G161" i="4"/>
  <c r="F161" i="4"/>
  <c r="J161" i="4" s="1"/>
  <c r="E161" i="4"/>
  <c r="J160" i="4"/>
  <c r="J159" i="4"/>
  <c r="J158" i="4"/>
  <c r="J157" i="4"/>
  <c r="H156" i="4"/>
  <c r="G156" i="4"/>
  <c r="F156" i="4"/>
  <c r="E156" i="4"/>
  <c r="J156" i="4" s="1"/>
  <c r="J155" i="4"/>
  <c r="J154" i="4"/>
  <c r="J153" i="4"/>
  <c r="J152" i="4"/>
  <c r="H151" i="4"/>
  <c r="G151" i="4"/>
  <c r="G191" i="4" s="1"/>
  <c r="F151" i="4"/>
  <c r="E151" i="4"/>
  <c r="J150" i="4"/>
  <c r="J149" i="4"/>
  <c r="J148" i="4"/>
  <c r="J147" i="4"/>
  <c r="H146" i="4"/>
  <c r="G146" i="4"/>
  <c r="F146" i="4"/>
  <c r="E146" i="4"/>
  <c r="J146" i="4" s="1"/>
  <c r="J145" i="4"/>
  <c r="J144" i="4"/>
  <c r="J143" i="4"/>
  <c r="J142" i="4"/>
  <c r="J141" i="4"/>
  <c r="J140" i="4"/>
  <c r="J139" i="4"/>
  <c r="H138" i="4"/>
  <c r="G138" i="4"/>
  <c r="F138" i="4"/>
  <c r="E138" i="4"/>
  <c r="J138" i="4" s="1"/>
  <c r="J137" i="4"/>
  <c r="J136" i="4"/>
  <c r="J135" i="4"/>
  <c r="J134" i="4"/>
  <c r="H133" i="4"/>
  <c r="H191" i="4" s="1"/>
  <c r="G133" i="4"/>
  <c r="F133" i="4"/>
  <c r="E133" i="4"/>
  <c r="I131" i="4"/>
  <c r="H131" i="4"/>
  <c r="G131" i="4"/>
  <c r="F131" i="4"/>
  <c r="E131" i="4"/>
  <c r="D131" i="4"/>
  <c r="C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G116" i="4"/>
  <c r="F116" i="4"/>
  <c r="E116" i="4"/>
  <c r="D116" i="4"/>
  <c r="C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I96" i="4"/>
  <c r="H96" i="4"/>
  <c r="G96" i="4"/>
  <c r="F96" i="4"/>
  <c r="E96" i="4"/>
  <c r="D96" i="4"/>
  <c r="C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I75" i="4"/>
  <c r="H75" i="4"/>
  <c r="G75" i="4"/>
  <c r="F75" i="4"/>
  <c r="E75" i="4"/>
  <c r="D75" i="4"/>
  <c r="C75" i="4"/>
  <c r="J74" i="4"/>
  <c r="J73" i="4"/>
  <c r="J72" i="4"/>
  <c r="J71" i="4"/>
  <c r="J70" i="4"/>
  <c r="J69" i="4"/>
  <c r="J68" i="4"/>
  <c r="J67" i="4"/>
  <c r="J66" i="4"/>
  <c r="J65" i="4"/>
  <c r="J64" i="4"/>
  <c r="J75" i="4" s="1"/>
  <c r="J63" i="4"/>
  <c r="J62" i="4"/>
  <c r="J61" i="4"/>
  <c r="I59" i="4"/>
  <c r="H59" i="4"/>
  <c r="G59" i="4"/>
  <c r="F59" i="4"/>
  <c r="E59" i="4"/>
  <c r="D59" i="4"/>
  <c r="C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59" i="4" s="1"/>
  <c r="I42" i="4"/>
  <c r="H42" i="4"/>
  <c r="G42" i="4"/>
  <c r="F42" i="4"/>
  <c r="E42" i="4"/>
  <c r="D42" i="4"/>
  <c r="C42" i="4"/>
  <c r="J41" i="4"/>
  <c r="J42" i="4" s="1"/>
  <c r="I38" i="4"/>
  <c r="H38" i="4"/>
  <c r="G38" i="4"/>
  <c r="F38" i="4"/>
  <c r="E38" i="4"/>
  <c r="D38" i="4"/>
  <c r="C38" i="4"/>
  <c r="J37" i="4"/>
  <c r="J38" i="4" s="1"/>
  <c r="I34" i="4"/>
  <c r="H34" i="4"/>
  <c r="G34" i="4"/>
  <c r="F34" i="4"/>
  <c r="E34" i="4"/>
  <c r="D34" i="4"/>
  <c r="C34" i="4"/>
  <c r="J33" i="4"/>
  <c r="J34" i="4" s="1"/>
  <c r="I30" i="4"/>
  <c r="H30" i="4"/>
  <c r="G30" i="4"/>
  <c r="F30" i="4"/>
  <c r="E30" i="4"/>
  <c r="D30" i="4"/>
  <c r="C30" i="4"/>
  <c r="J29" i="4"/>
  <c r="J28" i="4"/>
  <c r="J27" i="4"/>
  <c r="J26" i="4"/>
  <c r="J25" i="4"/>
  <c r="J24" i="4"/>
  <c r="J23" i="4"/>
  <c r="J22" i="4"/>
  <c r="J21" i="4"/>
  <c r="J20" i="4"/>
  <c r="H18" i="4"/>
  <c r="G18" i="4"/>
  <c r="F18" i="4"/>
  <c r="E18" i="4"/>
  <c r="D18" i="4"/>
  <c r="C18" i="4"/>
  <c r="J17" i="4"/>
  <c r="J16" i="4"/>
  <c r="S227" i="2"/>
  <c r="R227" i="2"/>
  <c r="Q227" i="2"/>
  <c r="P227" i="2"/>
  <c r="O227" i="2"/>
  <c r="N227" i="2"/>
  <c r="M227" i="2"/>
  <c r="L227" i="2"/>
  <c r="K227" i="2"/>
  <c r="J227" i="2"/>
  <c r="G227" i="2"/>
  <c r="E227" i="2"/>
  <c r="D227" i="2"/>
  <c r="C227" i="2"/>
  <c r="U226" i="2"/>
  <c r="T226" i="2"/>
  <c r="I226" i="2"/>
  <c r="F226" i="2"/>
  <c r="U225" i="2"/>
  <c r="T225" i="2"/>
  <c r="I225" i="2"/>
  <c r="F225" i="2"/>
  <c r="U224" i="2"/>
  <c r="T224" i="2"/>
  <c r="I224" i="2"/>
  <c r="F224" i="2"/>
  <c r="U223" i="2"/>
  <c r="T223" i="2"/>
  <c r="I223" i="2"/>
  <c r="F223" i="2"/>
  <c r="U222" i="2"/>
  <c r="T222" i="2"/>
  <c r="I222" i="2"/>
  <c r="F222" i="2"/>
  <c r="U221" i="2"/>
  <c r="T221" i="2"/>
  <c r="I221" i="2"/>
  <c r="F221" i="2"/>
  <c r="U220" i="2"/>
  <c r="T220" i="2"/>
  <c r="I220" i="2"/>
  <c r="F220" i="2"/>
  <c r="U219" i="2"/>
  <c r="T219" i="2"/>
  <c r="I219" i="2"/>
  <c r="F219" i="2"/>
  <c r="U218" i="2"/>
  <c r="T218" i="2"/>
  <c r="I218" i="2"/>
  <c r="F218" i="2"/>
  <c r="U217" i="2"/>
  <c r="U227" i="2" s="1"/>
  <c r="T217" i="2"/>
  <c r="T227" i="2" s="1"/>
  <c r="F217" i="2"/>
  <c r="U216" i="2"/>
  <c r="T216" i="2"/>
  <c r="F216" i="2"/>
  <c r="S214" i="2"/>
  <c r="R214" i="2"/>
  <c r="Q214" i="2"/>
  <c r="P214" i="2"/>
  <c r="O214" i="2"/>
  <c r="N214" i="2"/>
  <c r="M214" i="2"/>
  <c r="L214" i="2"/>
  <c r="K214" i="2"/>
  <c r="J214" i="2"/>
  <c r="H214" i="2"/>
  <c r="G214" i="2"/>
  <c r="E214" i="2"/>
  <c r="D214" i="2"/>
  <c r="C214" i="2"/>
  <c r="U213" i="2"/>
  <c r="T213" i="2"/>
  <c r="I213" i="2"/>
  <c r="F213" i="2"/>
  <c r="U212" i="2"/>
  <c r="T212" i="2"/>
  <c r="I212" i="2"/>
  <c r="F212" i="2"/>
  <c r="U211" i="2"/>
  <c r="T211" i="2"/>
  <c r="I211" i="2"/>
  <c r="F211" i="2"/>
  <c r="U210" i="2"/>
  <c r="T210" i="2"/>
  <c r="I210" i="2"/>
  <c r="F210" i="2"/>
  <c r="U209" i="2"/>
  <c r="T209" i="2"/>
  <c r="I209" i="2"/>
  <c r="F209" i="2"/>
  <c r="U208" i="2"/>
  <c r="T208" i="2"/>
  <c r="I208" i="2"/>
  <c r="F208" i="2"/>
  <c r="U207" i="2"/>
  <c r="T207" i="2"/>
  <c r="I207" i="2"/>
  <c r="F207" i="2"/>
  <c r="U206" i="2"/>
  <c r="T206" i="2"/>
  <c r="I206" i="2"/>
  <c r="F206" i="2"/>
  <c r="U205" i="2"/>
  <c r="T205" i="2"/>
  <c r="I205" i="2"/>
  <c r="I214" i="2" s="1"/>
  <c r="F205" i="2"/>
  <c r="U204" i="2"/>
  <c r="U214" i="2" s="1"/>
  <c r="T204" i="2"/>
  <c r="I204" i="2"/>
  <c r="F204" i="2"/>
  <c r="V203" i="2"/>
  <c r="U203" i="2"/>
  <c r="T203" i="2"/>
  <c r="F203" i="2"/>
  <c r="S201" i="2"/>
  <c r="Q201" i="2"/>
  <c r="O201" i="2"/>
  <c r="M201" i="2"/>
  <c r="J201" i="2"/>
  <c r="G201" i="2"/>
  <c r="D201" i="2"/>
  <c r="U200" i="2"/>
  <c r="U199" i="2"/>
  <c r="U198" i="2"/>
  <c r="U197" i="2"/>
  <c r="U196" i="2"/>
  <c r="U195" i="2"/>
  <c r="U194" i="2"/>
  <c r="U193" i="2"/>
  <c r="U192" i="2"/>
  <c r="U191" i="2"/>
  <c r="U190" i="2"/>
  <c r="S188" i="2"/>
  <c r="Q188" i="2"/>
  <c r="O188" i="2"/>
  <c r="M188" i="2"/>
  <c r="J188" i="2"/>
  <c r="G188" i="2"/>
  <c r="V188" i="2" s="1"/>
  <c r="D188" i="2"/>
  <c r="V187" i="2"/>
  <c r="U187" i="2"/>
  <c r="V186" i="2"/>
  <c r="U186" i="2"/>
  <c r="V185" i="2"/>
  <c r="U185" i="2"/>
  <c r="V184" i="2"/>
  <c r="U184" i="2"/>
  <c r="V183" i="2"/>
  <c r="U183" i="2"/>
  <c r="V182" i="2"/>
  <c r="U182" i="2"/>
  <c r="V181" i="2"/>
  <c r="U181" i="2"/>
  <c r="V180" i="2"/>
  <c r="U180" i="2"/>
  <c r="V179" i="2"/>
  <c r="U179" i="2"/>
  <c r="V178" i="2"/>
  <c r="U178" i="2"/>
  <c r="V177" i="2"/>
  <c r="U177" i="2"/>
  <c r="V176" i="2"/>
  <c r="U176" i="2"/>
  <c r="V175" i="2"/>
  <c r="U175" i="2"/>
  <c r="V174" i="2"/>
  <c r="U174" i="2"/>
  <c r="V173" i="2"/>
  <c r="U173" i="2"/>
  <c r="V172" i="2"/>
  <c r="U172" i="2"/>
  <c r="S170" i="2"/>
  <c r="R170" i="2"/>
  <c r="Q170" i="2"/>
  <c r="P170" i="2"/>
  <c r="O170" i="2"/>
  <c r="N170" i="2"/>
  <c r="M170" i="2"/>
  <c r="L170" i="2"/>
  <c r="K170" i="2"/>
  <c r="J170" i="2"/>
  <c r="I170" i="2"/>
  <c r="E170" i="2"/>
  <c r="D170" i="2"/>
  <c r="U169" i="2"/>
  <c r="T169" i="2"/>
  <c r="G169" i="2"/>
  <c r="F169" i="2"/>
  <c r="U168" i="2"/>
  <c r="T168" i="2"/>
  <c r="G168" i="2"/>
  <c r="F168" i="2"/>
  <c r="U167" i="2"/>
  <c r="T167" i="2"/>
  <c r="G167" i="2"/>
  <c r="F167" i="2"/>
  <c r="U166" i="2"/>
  <c r="T166" i="2"/>
  <c r="G166" i="2"/>
  <c r="F166" i="2"/>
  <c r="U165" i="2"/>
  <c r="T165" i="2"/>
  <c r="G165" i="2"/>
  <c r="F165" i="2"/>
  <c r="U164" i="2"/>
  <c r="T164" i="2"/>
  <c r="G164" i="2"/>
  <c r="F164" i="2"/>
  <c r="U163" i="2"/>
  <c r="T163" i="2"/>
  <c r="G163" i="2"/>
  <c r="F163" i="2"/>
  <c r="U162" i="2"/>
  <c r="T162" i="2"/>
  <c r="G162" i="2"/>
  <c r="F162" i="2"/>
  <c r="U161" i="2"/>
  <c r="T161" i="2"/>
  <c r="G161" i="2"/>
  <c r="F161" i="2"/>
  <c r="U160" i="2"/>
  <c r="T160" i="2"/>
  <c r="G160" i="2"/>
  <c r="F160" i="2"/>
  <c r="U159" i="2"/>
  <c r="T159" i="2"/>
  <c r="G159" i="2"/>
  <c r="F159" i="2"/>
  <c r="U158" i="2"/>
  <c r="T158" i="2"/>
  <c r="G158" i="2"/>
  <c r="F158" i="2"/>
  <c r="U157" i="2"/>
  <c r="T157" i="2"/>
  <c r="G157" i="2"/>
  <c r="F157" i="2"/>
  <c r="U156" i="2"/>
  <c r="T156" i="2"/>
  <c r="G156" i="2"/>
  <c r="F156" i="2"/>
  <c r="U155" i="2"/>
  <c r="T155" i="2"/>
  <c r="G155" i="2"/>
  <c r="F155" i="2"/>
  <c r="U154" i="2"/>
  <c r="T154" i="2"/>
  <c r="G154" i="2"/>
  <c r="F154" i="2"/>
  <c r="U153" i="2"/>
  <c r="U170" i="2" s="1"/>
  <c r="T153" i="2"/>
  <c r="T170" i="2" s="1"/>
  <c r="G153" i="2"/>
  <c r="F153" i="2"/>
  <c r="F170" i="2" s="1"/>
  <c r="S151" i="2"/>
  <c r="R151" i="2"/>
  <c r="Q151" i="2"/>
  <c r="P151" i="2"/>
  <c r="O151" i="2"/>
  <c r="N151" i="2"/>
  <c r="M151" i="2"/>
  <c r="L151" i="2"/>
  <c r="K151" i="2"/>
  <c r="J151" i="2"/>
  <c r="G151" i="2"/>
  <c r="E151" i="2"/>
  <c r="D151" i="2"/>
  <c r="U150" i="2"/>
  <c r="T150" i="2"/>
  <c r="U149" i="2"/>
  <c r="T149" i="2"/>
  <c r="U148" i="2"/>
  <c r="T148" i="2"/>
  <c r="U147" i="2"/>
  <c r="T147" i="2"/>
  <c r="U146" i="2"/>
  <c r="T146" i="2"/>
  <c r="U145" i="2"/>
  <c r="T145" i="2"/>
  <c r="U144" i="2"/>
  <c r="T144" i="2"/>
  <c r="I144" i="2"/>
  <c r="I151" i="2" s="1"/>
  <c r="F151" i="2" s="1"/>
  <c r="U143" i="2"/>
  <c r="T143" i="2"/>
  <c r="U142" i="2"/>
  <c r="T142" i="2"/>
  <c r="U141" i="2"/>
  <c r="T141" i="2"/>
  <c r="S139" i="2"/>
  <c r="R139" i="2"/>
  <c r="Q139" i="2"/>
  <c r="P139" i="2"/>
  <c r="O139" i="2"/>
  <c r="N139" i="2"/>
  <c r="M139" i="2"/>
  <c r="L139" i="2"/>
  <c r="K139" i="2"/>
  <c r="J139" i="2"/>
  <c r="G139" i="2"/>
  <c r="E139" i="2" s="1"/>
  <c r="D139" i="2"/>
  <c r="U138" i="2"/>
  <c r="T138" i="2"/>
  <c r="U137" i="2"/>
  <c r="T137" i="2"/>
  <c r="U136" i="2"/>
  <c r="T136" i="2"/>
  <c r="U135" i="2"/>
  <c r="T135" i="2"/>
  <c r="U134" i="2"/>
  <c r="T134" i="2"/>
  <c r="U133" i="2"/>
  <c r="T133" i="2"/>
  <c r="I133" i="2"/>
  <c r="I139" i="2" s="1"/>
  <c r="F139" i="2" s="1"/>
  <c r="U132" i="2"/>
  <c r="T132" i="2"/>
  <c r="U131" i="2"/>
  <c r="T131" i="2"/>
  <c r="U130" i="2"/>
  <c r="T130" i="2"/>
  <c r="U129" i="2"/>
  <c r="T129" i="2"/>
  <c r="T139" i="2" s="1"/>
  <c r="R127" i="2"/>
  <c r="P127" i="2"/>
  <c r="O127" i="2"/>
  <c r="N127" i="2"/>
  <c r="L127" i="2"/>
  <c r="J127" i="2"/>
  <c r="I127" i="2"/>
  <c r="G127" i="2"/>
  <c r="D127" i="2"/>
  <c r="U126" i="2"/>
  <c r="T126" i="2"/>
  <c r="U125" i="2"/>
  <c r="T125" i="2"/>
  <c r="U124" i="2"/>
  <c r="T124" i="2"/>
  <c r="U123" i="2"/>
  <c r="T123" i="2"/>
  <c r="U122" i="2"/>
  <c r="T122" i="2"/>
  <c r="U121" i="2"/>
  <c r="T121" i="2"/>
  <c r="U120" i="2"/>
  <c r="T120" i="2"/>
  <c r="U119" i="2"/>
  <c r="T119" i="2"/>
  <c r="U118" i="2"/>
  <c r="T118" i="2"/>
  <c r="U117" i="2"/>
  <c r="T117" i="2"/>
  <c r="T116" i="2"/>
  <c r="S116" i="2"/>
  <c r="S127" i="2" s="1"/>
  <c r="Q116" i="2"/>
  <c r="Q127" i="2" s="1"/>
  <c r="O116" i="2"/>
  <c r="M116" i="2"/>
  <c r="M127" i="2" s="1"/>
  <c r="K116" i="2"/>
  <c r="K127" i="2" s="1"/>
  <c r="S114" i="2"/>
  <c r="R114" i="2"/>
  <c r="Q114" i="2"/>
  <c r="P114" i="2"/>
  <c r="O114" i="2"/>
  <c r="N114" i="2"/>
  <c r="M114" i="2"/>
  <c r="L114" i="2"/>
  <c r="K114" i="2"/>
  <c r="J114" i="2"/>
  <c r="I114" i="2"/>
  <c r="G114" i="2"/>
  <c r="E114" i="2"/>
  <c r="D114" i="2"/>
  <c r="C114" i="2"/>
  <c r="U113" i="2"/>
  <c r="T113" i="2"/>
  <c r="U112" i="2"/>
  <c r="T112" i="2"/>
  <c r="U111" i="2"/>
  <c r="T111" i="2"/>
  <c r="U110" i="2"/>
  <c r="T110" i="2"/>
  <c r="U109" i="2"/>
  <c r="T109" i="2"/>
  <c r="V108" i="2"/>
  <c r="U108" i="2"/>
  <c r="T108" i="2"/>
  <c r="I108" i="2"/>
  <c r="F108" i="2"/>
  <c r="F114" i="2" s="1"/>
  <c r="V101" i="2" s="1"/>
  <c r="U107" i="2"/>
  <c r="T107" i="2"/>
  <c r="U106" i="2"/>
  <c r="T106" i="2"/>
  <c r="U105" i="2"/>
  <c r="T105" i="2"/>
  <c r="U104" i="2"/>
  <c r="T104" i="2"/>
  <c r="U103" i="2"/>
  <c r="T103" i="2"/>
  <c r="F103" i="2"/>
  <c r="V102" i="2"/>
  <c r="U102" i="2"/>
  <c r="T102" i="2"/>
  <c r="F102" i="2"/>
  <c r="S100" i="2"/>
  <c r="R100" i="2"/>
  <c r="Q100" i="2"/>
  <c r="P100" i="2"/>
  <c r="O100" i="2"/>
  <c r="N100" i="2"/>
  <c r="M100" i="2"/>
  <c r="L100" i="2"/>
  <c r="K100" i="2"/>
  <c r="J100" i="2"/>
  <c r="G100" i="2"/>
  <c r="E100" i="2"/>
  <c r="D100" i="2"/>
  <c r="U99" i="2"/>
  <c r="T99" i="2"/>
  <c r="I99" i="2"/>
  <c r="F99" i="2"/>
  <c r="C99" i="2"/>
  <c r="V99" i="2" s="1"/>
  <c r="V98" i="2"/>
  <c r="U98" i="2"/>
  <c r="T98" i="2"/>
  <c r="I98" i="2"/>
  <c r="F98" i="2"/>
  <c r="C98" i="2"/>
  <c r="U97" i="2"/>
  <c r="T97" i="2"/>
  <c r="I97" i="2"/>
  <c r="F97" i="2"/>
  <c r="C97" i="2"/>
  <c r="V97" i="2" s="1"/>
  <c r="V96" i="2"/>
  <c r="U96" i="2"/>
  <c r="T96" i="2"/>
  <c r="I96" i="2"/>
  <c r="F96" i="2"/>
  <c r="C96" i="2"/>
  <c r="U95" i="2"/>
  <c r="T95" i="2"/>
  <c r="I95" i="2"/>
  <c r="F95" i="2"/>
  <c r="C95" i="2"/>
  <c r="V95" i="2" s="1"/>
  <c r="V94" i="2"/>
  <c r="U94" i="2"/>
  <c r="T94" i="2"/>
  <c r="I94" i="2"/>
  <c r="F94" i="2"/>
  <c r="C94" i="2"/>
  <c r="U93" i="2"/>
  <c r="T93" i="2"/>
  <c r="I93" i="2"/>
  <c r="F93" i="2"/>
  <c r="C93" i="2"/>
  <c r="V93" i="2" s="1"/>
  <c r="V92" i="2"/>
  <c r="U92" i="2"/>
  <c r="T92" i="2"/>
  <c r="I92" i="2"/>
  <c r="F92" i="2"/>
  <c r="C92" i="2"/>
  <c r="U91" i="2"/>
  <c r="T91" i="2"/>
  <c r="I91" i="2"/>
  <c r="F91" i="2"/>
  <c r="C91" i="2"/>
  <c r="V91" i="2" s="1"/>
  <c r="V90" i="2"/>
  <c r="U90" i="2"/>
  <c r="T90" i="2"/>
  <c r="I90" i="2"/>
  <c r="F90" i="2"/>
  <c r="C90" i="2"/>
  <c r="U89" i="2"/>
  <c r="T89" i="2"/>
  <c r="I89" i="2"/>
  <c r="F89" i="2"/>
  <c r="C89" i="2"/>
  <c r="V89" i="2" s="1"/>
  <c r="V88" i="2"/>
  <c r="U88" i="2"/>
  <c r="T88" i="2"/>
  <c r="I88" i="2"/>
  <c r="F88" i="2"/>
  <c r="C88" i="2"/>
  <c r="U87" i="2"/>
  <c r="T87" i="2"/>
  <c r="I87" i="2"/>
  <c r="F87" i="2"/>
  <c r="C87" i="2"/>
  <c r="V87" i="2" s="1"/>
  <c r="V86" i="2"/>
  <c r="U86" i="2"/>
  <c r="T86" i="2"/>
  <c r="I86" i="2"/>
  <c r="F86" i="2"/>
  <c r="C86" i="2"/>
  <c r="U85" i="2"/>
  <c r="T85" i="2"/>
  <c r="I85" i="2"/>
  <c r="F85" i="2"/>
  <c r="C85" i="2"/>
  <c r="V85" i="2" s="1"/>
  <c r="V84" i="2"/>
  <c r="U84" i="2"/>
  <c r="T84" i="2"/>
  <c r="I84" i="2"/>
  <c r="F84" i="2"/>
  <c r="F100" i="2" s="1"/>
  <c r="C84" i="2"/>
  <c r="U83" i="2"/>
  <c r="U100" i="2" s="1"/>
  <c r="T83" i="2"/>
  <c r="T100" i="2" s="1"/>
  <c r="I83" i="2"/>
  <c r="F83" i="2"/>
  <c r="C83" i="2"/>
  <c r="C100" i="2" s="1"/>
  <c r="V100" i="2" s="1"/>
  <c r="S81" i="2"/>
  <c r="R81" i="2"/>
  <c r="Q81" i="2"/>
  <c r="P81" i="2"/>
  <c r="O81" i="2"/>
  <c r="N81" i="2"/>
  <c r="M81" i="2"/>
  <c r="L81" i="2"/>
  <c r="K81" i="2"/>
  <c r="J81" i="2"/>
  <c r="G81" i="2"/>
  <c r="E81" i="2"/>
  <c r="C81" i="2"/>
  <c r="V80" i="2"/>
  <c r="U80" i="2"/>
  <c r="T80" i="2"/>
  <c r="I80" i="2"/>
  <c r="F80" i="2"/>
  <c r="V79" i="2"/>
  <c r="U79" i="2"/>
  <c r="T79" i="2"/>
  <c r="I79" i="2"/>
  <c r="F79" i="2"/>
  <c r="V78" i="2"/>
  <c r="U78" i="2"/>
  <c r="T78" i="2"/>
  <c r="I78" i="2"/>
  <c r="F78" i="2"/>
  <c r="V77" i="2"/>
  <c r="U77" i="2"/>
  <c r="T77" i="2"/>
  <c r="I77" i="2"/>
  <c r="F77" i="2"/>
  <c r="V76" i="2"/>
  <c r="U76" i="2"/>
  <c r="T76" i="2"/>
  <c r="I76" i="2"/>
  <c r="F76" i="2"/>
  <c r="V75" i="2"/>
  <c r="U75" i="2"/>
  <c r="T75" i="2"/>
  <c r="I75" i="2"/>
  <c r="F75" i="2"/>
  <c r="V74" i="2"/>
  <c r="U74" i="2"/>
  <c r="T74" i="2"/>
  <c r="I74" i="2"/>
  <c r="F74" i="2"/>
  <c r="V73" i="2"/>
  <c r="U73" i="2"/>
  <c r="T73" i="2"/>
  <c r="I73" i="2"/>
  <c r="F73" i="2"/>
  <c r="V72" i="2"/>
  <c r="U72" i="2"/>
  <c r="T72" i="2"/>
  <c r="I72" i="2"/>
  <c r="F72" i="2"/>
  <c r="V71" i="2"/>
  <c r="U71" i="2"/>
  <c r="T71" i="2"/>
  <c r="I71" i="2"/>
  <c r="F71" i="2"/>
  <c r="V70" i="2"/>
  <c r="U70" i="2"/>
  <c r="U81" i="2" s="1"/>
  <c r="T70" i="2"/>
  <c r="I70" i="2"/>
  <c r="F70" i="2"/>
  <c r="D70" i="2"/>
  <c r="D81" i="2" s="1"/>
  <c r="S68" i="2"/>
  <c r="R68" i="2"/>
  <c r="Q68" i="2"/>
  <c r="P68" i="2"/>
  <c r="O68" i="2"/>
  <c r="N68" i="2"/>
  <c r="M68" i="2"/>
  <c r="L68" i="2"/>
  <c r="K68" i="2"/>
  <c r="J68" i="2"/>
  <c r="G68" i="2"/>
  <c r="E68" i="2"/>
  <c r="D68" i="2"/>
  <c r="U67" i="2"/>
  <c r="T67" i="2"/>
  <c r="C67" i="2"/>
  <c r="U66" i="2"/>
  <c r="T66" i="2"/>
  <c r="C66" i="2"/>
  <c r="U65" i="2"/>
  <c r="T65" i="2"/>
  <c r="C65" i="2"/>
  <c r="U64" i="2"/>
  <c r="T64" i="2"/>
  <c r="C64" i="2"/>
  <c r="U63" i="2"/>
  <c r="T63" i="2"/>
  <c r="C63" i="2"/>
  <c r="U62" i="2"/>
  <c r="T62" i="2"/>
  <c r="C62" i="2"/>
  <c r="U61" i="2"/>
  <c r="T61" i="2"/>
  <c r="C61" i="2"/>
  <c r="U60" i="2"/>
  <c r="T60" i="2"/>
  <c r="C60" i="2"/>
  <c r="U59" i="2"/>
  <c r="T59" i="2"/>
  <c r="C59" i="2"/>
  <c r="U58" i="2"/>
  <c r="T58" i="2"/>
  <c r="C58" i="2"/>
  <c r="C68" i="2" s="1"/>
  <c r="U57" i="2"/>
  <c r="T57" i="2"/>
  <c r="I57" i="2"/>
  <c r="I68" i="2" s="1"/>
  <c r="F57" i="2"/>
  <c r="F68" i="2" s="1"/>
  <c r="U56" i="2"/>
  <c r="T56" i="2"/>
  <c r="S54" i="2"/>
  <c r="R54" i="2"/>
  <c r="Q54" i="2"/>
  <c r="P54" i="2"/>
  <c r="O54" i="2"/>
  <c r="N54" i="2"/>
  <c r="M54" i="2"/>
  <c r="L54" i="2"/>
  <c r="K54" i="2"/>
  <c r="J54" i="2"/>
  <c r="G54" i="2"/>
  <c r="V40" i="2" s="1"/>
  <c r="E54" i="2"/>
  <c r="D54" i="2"/>
  <c r="C54" i="2"/>
  <c r="V54" i="2" s="1"/>
  <c r="V53" i="2"/>
  <c r="U53" i="2"/>
  <c r="T53" i="2"/>
  <c r="I53" i="2"/>
  <c r="F53" i="2"/>
  <c r="V52" i="2"/>
  <c r="U52" i="2"/>
  <c r="T52" i="2"/>
  <c r="I52" i="2"/>
  <c r="F52" i="2"/>
  <c r="V51" i="2"/>
  <c r="U51" i="2"/>
  <c r="T51" i="2"/>
  <c r="I51" i="2"/>
  <c r="F51" i="2"/>
  <c r="V50" i="2"/>
  <c r="U50" i="2"/>
  <c r="T50" i="2"/>
  <c r="I50" i="2"/>
  <c r="F50" i="2"/>
  <c r="V49" i="2"/>
  <c r="U49" i="2"/>
  <c r="T49" i="2"/>
  <c r="I49" i="2"/>
  <c r="F49" i="2"/>
  <c r="V48" i="2"/>
  <c r="U48" i="2"/>
  <c r="T48" i="2"/>
  <c r="I48" i="2"/>
  <c r="F48" i="2"/>
  <c r="V47" i="2"/>
  <c r="U47" i="2"/>
  <c r="T47" i="2"/>
  <c r="I47" i="2"/>
  <c r="F47" i="2"/>
  <c r="V46" i="2"/>
  <c r="U46" i="2"/>
  <c r="T46" i="2"/>
  <c r="I46" i="2"/>
  <c r="F46" i="2"/>
  <c r="V45" i="2"/>
  <c r="U45" i="2"/>
  <c r="T45" i="2"/>
  <c r="I45" i="2"/>
  <c r="F45" i="2"/>
  <c r="V44" i="2"/>
  <c r="U44" i="2"/>
  <c r="T44" i="2"/>
  <c r="I44" i="2"/>
  <c r="F44" i="2"/>
  <c r="V43" i="2"/>
  <c r="U43" i="2"/>
  <c r="T43" i="2"/>
  <c r="I43" i="2"/>
  <c r="F43" i="2"/>
  <c r="V42" i="2"/>
  <c r="U42" i="2"/>
  <c r="T42" i="2"/>
  <c r="I42" i="2"/>
  <c r="F42" i="2"/>
  <c r="V41" i="2"/>
  <c r="U41" i="2"/>
  <c r="T41" i="2"/>
  <c r="I41" i="2"/>
  <c r="F41" i="2"/>
  <c r="S39" i="2"/>
  <c r="R39" i="2"/>
  <c r="Q39" i="2"/>
  <c r="P39" i="2"/>
  <c r="O39" i="2"/>
  <c r="N39" i="2"/>
  <c r="M39" i="2"/>
  <c r="L39" i="2"/>
  <c r="K39" i="2"/>
  <c r="J39" i="2"/>
  <c r="I39" i="2"/>
  <c r="G39" i="2"/>
  <c r="T39" i="2" s="1"/>
  <c r="E39" i="2"/>
  <c r="V39" i="2" s="1"/>
  <c r="C39" i="2"/>
  <c r="V38" i="2"/>
  <c r="U38" i="2"/>
  <c r="T38" i="2"/>
  <c r="F38" i="2"/>
  <c r="V37" i="2"/>
  <c r="U37" i="2"/>
  <c r="T37" i="2"/>
  <c r="F37" i="2"/>
  <c r="V36" i="2"/>
  <c r="U36" i="2"/>
  <c r="T36" i="2"/>
  <c r="F36" i="2"/>
  <c r="V35" i="2"/>
  <c r="U35" i="2"/>
  <c r="T35" i="2"/>
  <c r="F35" i="2"/>
  <c r="V34" i="2"/>
  <c r="U34" i="2"/>
  <c r="T34" i="2"/>
  <c r="F34" i="2"/>
  <c r="V33" i="2"/>
  <c r="U33" i="2"/>
  <c r="T33" i="2"/>
  <c r="F33" i="2"/>
  <c r="V32" i="2"/>
  <c r="U32" i="2"/>
  <c r="T32" i="2"/>
  <c r="F32" i="2"/>
  <c r="V31" i="2"/>
  <c r="U31" i="2"/>
  <c r="T31" i="2"/>
  <c r="F31" i="2"/>
  <c r="V30" i="2"/>
  <c r="U30" i="2"/>
  <c r="T30" i="2"/>
  <c r="F30" i="2"/>
  <c r="V29" i="2"/>
  <c r="U29" i="2"/>
  <c r="T29" i="2"/>
  <c r="F29" i="2"/>
  <c r="V28" i="2"/>
  <c r="U28" i="2"/>
  <c r="U39" i="2" s="1"/>
  <c r="T28" i="2"/>
  <c r="F28" i="2"/>
  <c r="D28" i="2"/>
  <c r="D39" i="2" s="1"/>
  <c r="S26" i="2"/>
  <c r="R26" i="2"/>
  <c r="Q26" i="2"/>
  <c r="P26" i="2"/>
  <c r="O26" i="2"/>
  <c r="N26" i="2"/>
  <c r="M26" i="2"/>
  <c r="L26" i="2"/>
  <c r="K26" i="2"/>
  <c r="J26" i="2"/>
  <c r="I26" i="2"/>
  <c r="G26" i="2"/>
  <c r="F26" i="2"/>
  <c r="E26" i="2"/>
  <c r="D26" i="2"/>
  <c r="U25" i="2"/>
  <c r="T25" i="2"/>
  <c r="C25" i="2"/>
  <c r="U24" i="2"/>
  <c r="T24" i="2"/>
  <c r="C24" i="2"/>
  <c r="U23" i="2"/>
  <c r="T23" i="2"/>
  <c r="C23" i="2"/>
  <c r="U22" i="2"/>
  <c r="T22" i="2"/>
  <c r="C22" i="2"/>
  <c r="U21" i="2"/>
  <c r="T21" i="2"/>
  <c r="C21" i="2"/>
  <c r="U20" i="2"/>
  <c r="T20" i="2"/>
  <c r="C20" i="2"/>
  <c r="U19" i="2"/>
  <c r="T19" i="2"/>
  <c r="C19" i="2"/>
  <c r="U18" i="2"/>
  <c r="T18" i="2"/>
  <c r="C18" i="2"/>
  <c r="U17" i="2"/>
  <c r="T17" i="2"/>
  <c r="C17" i="2"/>
  <c r="U16" i="2"/>
  <c r="T16" i="2"/>
  <c r="C16" i="2"/>
  <c r="U15" i="2"/>
  <c r="U26" i="2" s="1"/>
  <c r="T15" i="2"/>
  <c r="C26" i="2" l="1"/>
  <c r="T54" i="2"/>
  <c r="U201" i="2"/>
  <c r="J171" i="4"/>
  <c r="L197" i="5"/>
  <c r="H40" i="6"/>
  <c r="H106" i="6"/>
  <c r="H44" i="11"/>
  <c r="U54" i="2"/>
  <c r="T68" i="2"/>
  <c r="T81" i="2"/>
  <c r="V83" i="2"/>
  <c r="V114" i="2"/>
  <c r="T151" i="2"/>
  <c r="E229" i="2"/>
  <c r="V229" i="2" s="1"/>
  <c r="U188" i="2"/>
  <c r="F227" i="2"/>
  <c r="I227" i="2"/>
  <c r="J96" i="4"/>
  <c r="J131" i="4"/>
  <c r="J133" i="4"/>
  <c r="J181" i="4"/>
  <c r="L74" i="5"/>
  <c r="L91" i="5"/>
  <c r="L254" i="5"/>
  <c r="H85" i="6"/>
  <c r="H76" i="11"/>
  <c r="I54" i="2"/>
  <c r="F81" i="2"/>
  <c r="V81" i="2"/>
  <c r="U114" i="2"/>
  <c r="T127" i="2"/>
  <c r="U139" i="2"/>
  <c r="E191" i="4"/>
  <c r="D54" i="5"/>
  <c r="C74" i="5"/>
  <c r="L103" i="5"/>
  <c r="L217" i="5"/>
  <c r="L236" i="5"/>
  <c r="T26" i="2"/>
  <c r="F39" i="2"/>
  <c r="F54" i="2"/>
  <c r="W54" i="2" s="1"/>
  <c r="U68" i="2"/>
  <c r="I81" i="2"/>
  <c r="V69" i="2" s="1"/>
  <c r="I100" i="2"/>
  <c r="W100" i="2" s="1"/>
  <c r="T114" i="2"/>
  <c r="U151" i="2"/>
  <c r="J18" i="4"/>
  <c r="J30" i="4"/>
  <c r="J116" i="4"/>
  <c r="J151" i="4"/>
  <c r="D26" i="5"/>
  <c r="E54" i="5"/>
  <c r="L78" i="5"/>
  <c r="E91" i="5"/>
  <c r="H62" i="6"/>
  <c r="E126" i="6"/>
  <c r="D6" i="9"/>
  <c r="H26" i="11"/>
  <c r="I229" i="2"/>
  <c r="V27" i="2"/>
  <c r="W39" i="2"/>
  <c r="W81" i="2"/>
  <c r="W114" i="2"/>
  <c r="W228" i="2"/>
  <c r="D229" i="2"/>
  <c r="G170" i="2"/>
  <c r="G229" i="2" s="1"/>
  <c r="U116" i="2"/>
  <c r="U127" i="2" s="1"/>
  <c r="F74" i="5"/>
  <c r="D27" i="7"/>
  <c r="F214" i="2"/>
  <c r="F229" i="2" s="1"/>
  <c r="T214" i="2"/>
  <c r="C229" i="2"/>
  <c r="L171" i="5"/>
  <c r="L181" i="5" s="1"/>
  <c r="G6" i="9"/>
  <c r="H6" i="9" s="1"/>
  <c r="J6" i="9" s="1"/>
  <c r="E4" i="10"/>
  <c r="F191" i="4"/>
  <c r="I5" i="9"/>
  <c r="G5" i="9" s="1"/>
  <c r="H5" i="9" s="1"/>
  <c r="J5" i="9" s="1"/>
  <c r="F4" i="9"/>
  <c r="D5" i="9"/>
  <c r="D7" i="9" s="1"/>
  <c r="W229" i="2" l="1"/>
  <c r="V230" i="2"/>
  <c r="J191" i="4"/>
  <c r="H4" i="10"/>
  <c r="J4" i="10" s="1"/>
  <c r="H8" i="10"/>
  <c r="G4" i="10"/>
  <c r="J8" i="10" s="1"/>
  <c r="J4" i="9"/>
  <c r="J7" i="9" s="1"/>
  <c r="F7" i="9"/>
  <c r="H4" i="9"/>
  <c r="G4" i="9" s="1"/>
  <c r="G7" i="9" l="1"/>
  <c r="I4" i="9"/>
  <c r="I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Карлов Владислав Владимирович</author>
  </authors>
  <commentList>
    <comment ref="C9" authorId="0" shapeId="0" xr:uid="{0FFCE586-07E7-485D-951B-387D3A56BACA}">
      <text>
        <r>
          <rPr>
            <b/>
            <sz val="9"/>
            <color indexed="81"/>
            <rFont val="Tahoma"/>
            <family val="2"/>
            <charset val="204"/>
          </rPr>
          <t>Карлов Владислав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без учета цены лицензии</t>
        </r>
      </text>
    </comment>
    <comment ref="C13" authorId="0" shapeId="0" xr:uid="{F53AEFFB-6CC7-4FC6-9CB1-7A816ED9A8BC}">
      <text>
        <r>
          <rPr>
            <b/>
            <sz val="9"/>
            <color indexed="81"/>
            <rFont val="Tahoma"/>
            <family val="2"/>
            <charset val="204"/>
          </rPr>
          <t>Карлов Владислав Владимирович
только лицензии</t>
        </r>
      </text>
    </comment>
  </commentList>
</comments>
</file>

<file path=xl/sharedStrings.xml><?xml version="1.0" encoding="utf-8"?>
<sst xmlns="http://schemas.openxmlformats.org/spreadsheetml/2006/main" count="1323" uniqueCount="361">
  <si>
    <t>Итого</t>
  </si>
  <si>
    <t>1.</t>
  </si>
  <si>
    <t>Итого по проекту:</t>
  </si>
  <si>
    <t>2.</t>
  </si>
  <si>
    <t>АО «Петербургская сбытовая компания»</t>
  </si>
  <si>
    <t>ПАО «Саратовэнерго»</t>
  </si>
  <si>
    <t>-</t>
  </si>
  <si>
    <t>ПАО «Тамбовская энергосбытовая компания»</t>
  </si>
  <si>
    <t>ООО «Орловский энергосбыт»</t>
  </si>
  <si>
    <t>ООО «ЭСВ»</t>
  </si>
  <si>
    <t>АО «Томскэнергосбыт»</t>
  </si>
  <si>
    <t>АО «Алтайэнергосбыт»</t>
  </si>
  <si>
    <t>ООО «Омская энергосбытовая компания»</t>
  </si>
  <si>
    <t>ООО «ЭСКБ»</t>
  </si>
  <si>
    <t>ООО "ССК"</t>
  </si>
  <si>
    <t>3.</t>
  </si>
  <si>
    <t>АО «Мосэнергосбыт»</t>
  </si>
  <si>
    <t>4.</t>
  </si>
  <si>
    <t>Итого:</t>
  </si>
  <si>
    <t>5.</t>
  </si>
  <si>
    <t>6.</t>
  </si>
  <si>
    <t xml:space="preserve">АО «Алтайэнергосбыт» </t>
  </si>
  <si>
    <t xml:space="preserve">ООО «ССК» </t>
  </si>
  <si>
    <t xml:space="preserve">ООО «Орловский энергосбыт» </t>
  </si>
  <si>
    <t xml:space="preserve">АО «Мосэнергосбыт» </t>
  </si>
  <si>
    <t xml:space="preserve">ПАО «Саратовэнерго» </t>
  </si>
  <si>
    <t xml:space="preserve">ПАО «Тамбовская энергосбытовая компания» </t>
  </si>
  <si>
    <t xml:space="preserve">ПАО «Томскэнергосбыт» </t>
  </si>
  <si>
    <t xml:space="preserve">ООО «ЭСВ» </t>
  </si>
  <si>
    <t xml:space="preserve">ООО «ЭСКБ» </t>
  </si>
  <si>
    <t>АО «ЕИРЦ Петроэлектросбыт»</t>
  </si>
  <si>
    <t xml:space="preserve">ООО «МосОблЕИРЦ» </t>
  </si>
  <si>
    <t>АО «Единый информационно-расчётный центр Ленинградской области»</t>
  </si>
  <si>
    <t>ООО «ЕИРЦ РБ»</t>
  </si>
  <si>
    <t>ООО «ЕИРЦ ТО»</t>
  </si>
  <si>
    <t>7.</t>
  </si>
  <si>
    <t>АО «ЕИРЦ СПБ»</t>
  </si>
  <si>
    <t>8.</t>
  </si>
  <si>
    <t>02. АППАРАТНОЕ ОБЕСПЕЧЕНИЕ ИВК</t>
  </si>
  <si>
    <t>04. АППАРАТНОЕ ОБЕСПЕЧЕНИЕ СУП СПД  "Пионер"</t>
  </si>
  <si>
    <t>06. ОБЕСПЕЧЕНИЕ ТРЕБОВАНИЙ ИНФОРМАЦИОННОЙ БЕЗОПАСНОСТИ (КИИ)</t>
  </si>
  <si>
    <t>АО «ПСК»</t>
  </si>
  <si>
    <t>ООО «ОЭК»</t>
  </si>
  <si>
    <t>ООО «ССК»</t>
  </si>
  <si>
    <t>ПАО «ТЭК»</t>
  </si>
  <si>
    <t>9.</t>
  </si>
  <si>
    <t>Ставка чч 2024</t>
  </si>
  <si>
    <t>Сигма</t>
  </si>
  <si>
    <t>Ставка чч 2026</t>
  </si>
  <si>
    <t>ИнСис</t>
  </si>
  <si>
    <t>МЭС</t>
  </si>
  <si>
    <t>ИРАОН</t>
  </si>
  <si>
    <r>
      <t xml:space="preserve">Затраты к включению в ИПР на 2024-2028 на развитие централизованных сиситем, курируемых ЦРБ
</t>
    </r>
    <r>
      <rPr>
        <sz val="14"/>
        <color theme="1"/>
        <rFont val="Calibri"/>
        <family val="2"/>
        <charset val="204"/>
        <scheme val="minor"/>
      </rPr>
      <t xml:space="preserve"> (Затраты представлены в ч/ч и тыс рублей без НДС)</t>
    </r>
  </si>
  <si>
    <t>2022 ч/ч</t>
  </si>
  <si>
    <t>Корректировочные значения БРБ ч/ч</t>
  </si>
  <si>
    <t>Корректировочные значения БРБ руб.</t>
  </si>
  <si>
    <t>КП 2023 (ч/ч)</t>
  </si>
  <si>
    <t>Результаты проверки/Комментарии</t>
  </si>
  <si>
    <t>КП 2023 руб.</t>
  </si>
  <si>
    <t>2024 (ч/ч)</t>
  </si>
  <si>
    <t>2025(ч/ч)</t>
  </si>
  <si>
    <t>2026 (ч/ч)</t>
  </si>
  <si>
    <t>2027(ч/ч)</t>
  </si>
  <si>
    <t>2028(ч/ч)</t>
  </si>
  <si>
    <t>Итого (ч/ч)</t>
  </si>
  <si>
    <t>Разница % отклонения в связи с изменением ставки чч в 2023 году</t>
  </si>
  <si>
    <t>Коментарии к планированию 2023 году</t>
  </si>
  <si>
    <t xml:space="preserve">1. </t>
  </si>
  <si>
    <r>
      <t xml:space="preserve">Развитие мобильного приложения ЛКК для ЮЛ. </t>
    </r>
    <r>
      <rPr>
        <b/>
        <sz val="14"/>
        <color indexed="2"/>
        <rFont val="Calibri"/>
        <family val="2"/>
        <charset val="204"/>
        <scheme val="minor"/>
      </rPr>
      <t>КП от ИРАОН?</t>
    </r>
    <r>
      <rPr>
        <b/>
        <sz val="14"/>
        <color theme="1"/>
        <rFont val="Calibri"/>
        <family val="2"/>
        <charset val="204"/>
        <scheme val="minor"/>
      </rPr>
      <t xml:space="preserve">
Ответственный: Константинов А.А.</t>
    </r>
  </si>
  <si>
    <t>Нет подписанного КП</t>
  </si>
  <si>
    <t>есть КП: 367,97 ч/ч и 1 130 400 руб.  С представленным файлом данные в КП не сходятся.</t>
  </si>
  <si>
    <t>есть КП: 88 чч и 342 т.р.Проверено</t>
  </si>
  <si>
    <t>нет статьи</t>
  </si>
  <si>
    <r>
      <t>Развитие ИТ платформы расчетов с ЮЛ Биллинг ИК (тыс. руб. без НДС). 
Ответственный: Константинов А.А.</t>
    </r>
    <r>
      <rPr>
        <b/>
        <sz val="14"/>
        <color indexed="2"/>
        <rFont val="Calibri"/>
        <family val="2"/>
        <charset val="204"/>
        <scheme val="minor"/>
      </rPr>
      <t xml:space="preserve"> данные по ч/ч от 2022 года</t>
    </r>
  </si>
  <si>
    <t>АО «Мосэнергосбыт» (СУЭД ПРОМ (2022))</t>
  </si>
  <si>
    <t>Есть КП. Проверено</t>
  </si>
  <si>
    <t>МЭСУ увеличиваем объем до уровня 2022(объема ПРОМ) что бы реализовать объем доработок согласованный в проекте КЦС ЮЛ на развитие. Остальным ЭСК оставляем уменьшенные объемы по предложению СИГМЫ.</t>
  </si>
  <si>
    <t>КП есть, проверено</t>
  </si>
  <si>
    <r>
      <t xml:space="preserve">Развитие ИТ платформы расчетов с ФЛ (Форсаж). Включая развитие </t>
    </r>
    <r>
      <rPr>
        <b/>
        <sz val="14"/>
        <color indexed="2"/>
        <rFont val="Calibri"/>
        <family val="2"/>
        <charset val="204"/>
        <scheme val="minor"/>
      </rPr>
      <t>ЛКК (КП от ИРАОН?),</t>
    </r>
    <r>
      <rPr>
        <b/>
        <sz val="14"/>
        <color theme="1"/>
        <rFont val="Calibri"/>
        <family val="2"/>
        <charset val="204"/>
        <scheme val="minor"/>
      </rPr>
      <t xml:space="preserve"> СУВК, Биллинга с ДИТ МЭС
Ответственный: Константинов А.А.., Добрынин В.С.</t>
    </r>
  </si>
  <si>
    <t>ООО "МосОблЕИРЦ" (СУВК)</t>
  </si>
  <si>
    <t>АО «Мосэнергосбыт» (СУВК)</t>
  </si>
  <si>
    <t>Есть расчет, и КП, проверено</t>
  </si>
  <si>
    <t>Убираем 5300ч.ч. И добавляем их в CRM ЮЛ \необходимо добавить интеграцию СУВК-ИВК (+3000ч.ч.)</t>
  </si>
  <si>
    <t>АО «Мосэнергосбыт» (ЛКК)</t>
  </si>
  <si>
    <t>Убираем чать ч.ч. И переносим их в ИРАОН (объем обоснован интеграцией с ИВК и доработкой в части ПП РФ 1178)
Добавлены по 186 ч.ч. В рамках захода ОКЦ на функции ГП</t>
  </si>
  <si>
    <t>АО «Мосэнергосбыт» (ЛКК МП)</t>
  </si>
  <si>
    <t>АО «Мосэнергосбыт» (биллинг)</t>
  </si>
  <si>
    <t>Есть расчет, не КП, проверено</t>
  </si>
  <si>
    <t>Предлагаем бюджет по всем ДО оставить без изменений кроме Томска и Владимира, где ежегодно наблюдается недостаток бюджета уже в начале года. При этом из бюджетов всех ЭСК убираем долю от 10% которые заложены на развитие ЛКК на ИРАОН (доля зависит от даты внедрения ЛКК ФЛ в ДО) 
-от 4 до 7% которые перенесены в бюджет Клиент-online</t>
  </si>
  <si>
    <t>Есть расчет, неn КП, н: в КП стоят 104 ч/д*8=832 ч/ч (c учетом ЕНСИ)</t>
  </si>
  <si>
    <t>Нет КП, в файле указано 154 чел/дня. Проверено</t>
  </si>
  <si>
    <t xml:space="preserve">АО «Тамбовская энергосбытовая компания» </t>
  </si>
  <si>
    <t>Нет КП, есть письмо и расчет, быть 616 ч/ч, а не 528 ч/ч (с учетом ЕНСИ)</t>
  </si>
  <si>
    <t>ПАО «Томскэнергосбыт»</t>
  </si>
  <si>
    <t>3152 (+ЕС НСИ)</t>
  </si>
  <si>
    <r>
      <t xml:space="preserve">Развитие ЛКК для ЮЛ, отдельно предусмотрены работы в "Развитие личного кабинета клиента юридического лица (ЛКК ЮЛ )".  </t>
    </r>
    <r>
      <rPr>
        <b/>
        <sz val="14"/>
        <color indexed="2"/>
        <rFont val="Calibri"/>
        <family val="2"/>
        <charset val="204"/>
        <scheme val="minor"/>
      </rPr>
      <t>КП от ИРАОН?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b/>
        <sz val="14"/>
        <rFont val="Calibri"/>
        <family val="2"/>
        <charset val="204"/>
        <scheme val="minor"/>
      </rPr>
      <t>Ответственный: Константинов А.А.</t>
    </r>
    <r>
      <rPr>
        <b/>
        <sz val="14"/>
        <color theme="1"/>
        <rFont val="Calibri"/>
        <family val="2"/>
        <charset val="204"/>
        <scheme val="minor"/>
      </rPr>
      <t xml:space="preserve">
</t>
    </r>
  </si>
  <si>
    <t>АО «Мосэнергосбыт» ЛКК ЮЛ+ЮЗДО (МЭС)</t>
  </si>
  <si>
    <t xml:space="preserve">Есть КП: 1148 ч/ч и 4 463 424 (совпадает с файлом). </t>
  </si>
  <si>
    <t>ЛКК ЮЛ, переходит в Клиент online У ИнСис остается только ЛКК ЮЗДО с учетом затрат на его рефакторигинг и возможность тиражирования на другие ДО</t>
  </si>
  <si>
    <t>АО «Мосэнергосбыт» ЛКК ЮЗДО (МЭС)</t>
  </si>
  <si>
    <t>Есть КП: 684,5 ч/ч и 2 102 784 руб. Данные в файле не сходятся, потому что ПСК включили суммарную  стоимость за 2023-2027, а подписали как 2024-2027</t>
  </si>
  <si>
    <t>есть КП: 164 ч/ч и 637 632 руб. Проверено</t>
  </si>
  <si>
    <r>
      <t xml:space="preserve">Развитие CRM системы юридических лиц. 
Ответственный: Константинов А.А. </t>
    </r>
    <r>
      <rPr>
        <b/>
        <sz val="14"/>
        <color indexed="2"/>
        <rFont val="Calibri"/>
        <family val="2"/>
        <charset val="204"/>
        <scheme val="minor"/>
      </rPr>
      <t>данные по ч/ч от 2022 года</t>
    </r>
  </si>
  <si>
    <t>Увеличение бюджета CRM  ЮЛ связано с тем что у нас по ряду ДО CRM система являтеся единой для ЮЛ и ФЛ, и в рамках ФЛ в следующем году необходим бюджет для развития в CRM функционала по ЕИРЦы группы, что бы ускорить возможности тиражировать и внедрить проект ОКЦ (+6664 ч.ч.) Переговорить с Пестуновым по возможности перерегистрации CRM</t>
  </si>
  <si>
    <t>КП есть. Проверено</t>
  </si>
  <si>
    <t xml:space="preserve">ООО «ОЭК» </t>
  </si>
  <si>
    <t xml:space="preserve">АО «Петербургская сбытовая компания» </t>
  </si>
  <si>
    <t>Роботизация бизнес-процессов (RPA)
Ответственный: Константинов А.А.</t>
  </si>
  <si>
    <t>АО "Мосэнергосбыт"</t>
  </si>
  <si>
    <t>ИПР не сходится с КП</t>
  </si>
  <si>
    <t>КП есть. Проверено.</t>
  </si>
  <si>
    <t>(770ч/ч) КП есть, данные не сходсятся</t>
  </si>
  <si>
    <t>ООО "ОРЦ"</t>
  </si>
  <si>
    <t>ООО "МОЕ"</t>
  </si>
  <si>
    <t>АО "ЕИРЦ ЛО"</t>
  </si>
  <si>
    <t>ООО "ЕИРЦ СПБ"</t>
  </si>
  <si>
    <t>ООО "ЕИРЦ РБ"</t>
  </si>
  <si>
    <t>ООО "ЕИРЦ ТО"</t>
  </si>
  <si>
    <t>Развитие ИАС.
Ответственный: Константинов А.А.</t>
  </si>
  <si>
    <t>АО "Мосэнергосбыт" (ИАС МЭС)</t>
  </si>
  <si>
    <t>17976144 (это сумма по КП на 2023 и первый квартал 2024 года)</t>
  </si>
  <si>
    <t>АО "Мосэнергосбыт" (ИАС ПСК)</t>
  </si>
  <si>
    <t>10.</t>
  </si>
  <si>
    <t>Развитие Корпоративной системы управления основными данными розничного бизнеса (MDM), 
Отвественый до ввода системы в ПРОМ: Забелина Ю.С.</t>
  </si>
  <si>
    <t>Есть КП: 1890 ч/д, 46 448 640 руб. Но в представленном МЭС файле статьи не нашла.</t>
  </si>
  <si>
    <t>есть КП "Внедрение корпоративной системы управления основными данными розничного бизнеса", стоимость = 3 146 361 р.</t>
  </si>
  <si>
    <t>есть КП "Внедрение корпоративной системы управления основными данными розничного бизнеса, 2021-2023гг.", стоимость = 1 270,3</t>
  </si>
  <si>
    <t>есть только статья Внедрение КСУ с суммой 2327 т.р.</t>
  </si>
  <si>
    <r>
      <t xml:space="preserve">Развитие инновационного биллинга ФЛ (проект "Пальмира"). </t>
    </r>
    <r>
      <rPr>
        <b/>
        <sz val="14"/>
        <color indexed="2"/>
        <rFont val="Calibri"/>
        <family val="2"/>
        <charset val="204"/>
        <scheme val="minor"/>
      </rPr>
      <t xml:space="preserve"> </t>
    </r>
    <r>
      <rPr>
        <b/>
        <sz val="14"/>
        <color theme="1"/>
        <rFont val="Calibri"/>
        <family val="2"/>
        <charset val="204"/>
        <scheme val="minor"/>
      </rPr>
      <t xml:space="preserve">
Куратор проекта: Петрин А.С., Ответственный до ввода системы в ПРОМ: Забелина Ю.С.</t>
    </r>
  </si>
  <si>
    <r>
      <t xml:space="preserve">Внедрение системы переносится на 2023 год, развитие скорее всего нам не согласуют.
</t>
    </r>
    <r>
      <rPr>
        <b/>
        <sz val="11"/>
        <color indexed="2"/>
        <rFont val="Calibri"/>
        <family val="2"/>
        <charset val="204"/>
        <scheme val="minor"/>
      </rPr>
      <t>Развитие внесли в паспорт проекта на 48,960 млн. руб. - здесь исключаем?</t>
    </r>
  </si>
  <si>
    <t>Развитие инновационного биллинга ФЛ (проект "Сибирь").  
Куратор проекта: Петрин А.С., Ответственный до ввода системы в ПРОМ: Забелина Ю.С.</t>
  </si>
  <si>
    <t>Внедрение системы запланировано на 2023 год, развитие скорее всего нам не согласуют.</t>
  </si>
  <si>
    <t>Есть КП. Проверено.</t>
  </si>
  <si>
    <t>11.</t>
  </si>
  <si>
    <r>
      <t xml:space="preserve">Клиент On-line
</t>
    </r>
    <r>
      <rPr>
        <b/>
        <sz val="14"/>
        <rFont val="Calibri"/>
        <family val="2"/>
        <charset val="204"/>
        <scheme val="minor"/>
      </rPr>
      <t xml:space="preserve">Ответственный: Василькова Т.А. </t>
    </r>
    <r>
      <rPr>
        <b/>
        <sz val="14"/>
        <color indexed="2"/>
        <rFont val="Calibri"/>
        <family val="2"/>
        <charset val="204"/>
        <scheme val="minor"/>
      </rPr>
      <t>Развитие в 2024 планируется?</t>
    </r>
  </si>
  <si>
    <t>нет статьи ИПР и КП</t>
  </si>
  <si>
    <t>Развитие системы не согласовано со стороны БИТ и БЮИЗ. Необходима встреча руководителя ИРАОН с профильными депортаментами при участии БРБ для того что бы объяснить схему внедрения и развития системы.</t>
  </si>
  <si>
    <t>АО «Петербургская сбытовая компания» + АО «ЕИРЦ Петроэлектросбыт»</t>
  </si>
  <si>
    <t>КП не подписано, есть файл на 551 ч/ч, но при этом в ИПР строчка развития отсутсвует</t>
  </si>
  <si>
    <t>КП не подписан, есть  файл на 243 ч/ч, при этом стоимость в представленном файле не соответствует = 2 623 т.р.</t>
  </si>
  <si>
    <t>АО «Томскэнергосбыт» + ООО «ЕИРЦ ТО»</t>
  </si>
  <si>
    <t>КП не подписано, есть файл с расчетом, все сходится</t>
  </si>
  <si>
    <t>КП не подписан, есть письмо с расчетом. За 2023 876 ч/чи 2 838 240 руб, что не сходится с данными</t>
  </si>
  <si>
    <t>нет подписанного КП, но цифры сходятся</t>
  </si>
  <si>
    <t>ООО «ЭСКБ» + ООО «ЕИРЦ РБ»</t>
  </si>
  <si>
    <t>1277 КП не подписано не сходится стоимость в файле ЭСКБ, у них прописано 19 019 т.р, что не соответвует данным КП</t>
  </si>
  <si>
    <t>АО "ПЭС"</t>
  </si>
  <si>
    <t>12.</t>
  </si>
  <si>
    <r>
      <t xml:space="preserve">НЕВА
Руководитель проекта: Опря Ю.В. 
</t>
    </r>
    <r>
      <rPr>
        <b/>
        <sz val="14"/>
        <color indexed="2"/>
        <rFont val="Calibri"/>
        <family val="2"/>
        <charset val="204"/>
        <scheme val="minor"/>
      </rPr>
      <t>(развитие годом, следующим за годом окончания внедрения, 2025?)</t>
    </r>
  </si>
  <si>
    <t>13.</t>
  </si>
  <si>
    <r>
      <t xml:space="preserve">Построение интеллектуальной системы учета ИСУ
Руководитель проекта: Сысоев Д.А./Марков Д.Н.
</t>
    </r>
    <r>
      <rPr>
        <b/>
        <sz val="14"/>
        <color indexed="2"/>
        <rFont val="Calibri"/>
        <family val="2"/>
        <charset val="204"/>
        <scheme val="minor"/>
      </rPr>
      <t>(развитие годом, следующим за годом окончания внедрения, 2025?)</t>
    </r>
  </si>
  <si>
    <t>Есть статья "Создание интеллектуальной системы учета (ИСУ) (2022-2024)". Приложено 4 КП</t>
  </si>
  <si>
    <t>ООО «Энергетическая сбытовая компания Башкортостана» (ООО «ЭСКБ»)</t>
  </si>
  <si>
    <t>Есть статья "Создание ИСУ", но представленные  цифры с КП не сходятся</t>
  </si>
  <si>
    <t>Есть статья Создание интеллектуальной системы учета (ИСУ)</t>
  </si>
  <si>
    <t>Есть статья Создание интеллектуальной системы учета (ИСУ) (2022-2024). Но цифры с КП не сходятся</t>
  </si>
  <si>
    <t>Есть статья "Создание интеллектуальной системы учета (ИСУ)". Сумма 390 360 тыс. руб. Непонятно с чем сравнивать. Все ЭСК приложили одно и то же письмо</t>
  </si>
  <si>
    <t>Есть статья "Создание интеллектуальной системы учета (ИСУ)". Сумма 626 313 тыс. руб. Непонятно с чем сравнивать. Все ЭСК приложили одно и то же письмо</t>
  </si>
  <si>
    <t>Указали в файле 358 092 тыс.руб.</t>
  </si>
  <si>
    <t>Указали в файле 192 719 тыс.руб.</t>
  </si>
  <si>
    <r>
      <t xml:space="preserve">Тиражирование ПИР СУЭД (ФЛ) </t>
    </r>
    <r>
      <rPr>
        <b/>
        <sz val="14"/>
        <color indexed="2"/>
        <rFont val="Calibri"/>
        <family val="2"/>
        <charset val="204"/>
        <scheme val="minor"/>
      </rPr>
      <t>на 2024 год исключаем тираж? Будет развитие?</t>
    </r>
    <r>
      <rPr>
        <b/>
        <sz val="14"/>
        <color theme="1"/>
        <rFont val="Calibri"/>
        <family val="2"/>
        <charset val="204"/>
        <scheme val="minor"/>
      </rPr>
      <t/>
    </r>
  </si>
  <si>
    <t>МЭС ПИР СУЭД</t>
  </si>
  <si>
    <r>
      <t>Тиражирование ЕНСИ (ФЛ)</t>
    </r>
    <r>
      <rPr>
        <b/>
        <sz val="14"/>
        <color indexed="2"/>
        <rFont val="Calibri"/>
        <family val="2"/>
        <charset val="204"/>
        <scheme val="minor"/>
      </rPr>
      <t xml:space="preserve"> на 2024 год исключаем тираж? Будет развитие?</t>
    </r>
  </si>
  <si>
    <t xml:space="preserve">АО  «Мосэнергосбыт» </t>
  </si>
  <si>
    <t>ДО</t>
  </si>
  <si>
    <r>
      <t xml:space="preserve">Затраты к включению в </t>
    </r>
    <r>
      <rPr>
        <b/>
        <sz val="18"/>
        <color theme="1"/>
        <rFont val="Calibri"/>
        <family val="2"/>
        <charset val="204"/>
        <scheme val="minor"/>
      </rPr>
      <t>БП</t>
    </r>
    <r>
      <rPr>
        <b/>
        <sz val="14"/>
        <color theme="1"/>
        <rFont val="Calibri"/>
        <family val="2"/>
        <charset val="204"/>
        <scheme val="minor"/>
      </rPr>
      <t xml:space="preserve"> </t>
    </r>
    <r>
      <rPr>
        <b/>
        <sz val="18"/>
        <color theme="1"/>
        <rFont val="Calibri"/>
        <family val="2"/>
        <charset val="204"/>
        <scheme val="minor"/>
      </rPr>
      <t>(OPEX)</t>
    </r>
    <r>
      <rPr>
        <b/>
        <sz val="14"/>
        <color theme="1"/>
        <rFont val="Calibri"/>
        <family val="2"/>
        <charset val="204"/>
        <scheme val="minor"/>
      </rPr>
      <t xml:space="preserve"> на 2024-2028 на внедрение новые проекты, курируемые ЦРБ
</t>
    </r>
    <r>
      <rPr>
        <sz val="14"/>
        <color theme="1"/>
        <rFont val="Calibri"/>
        <family val="2"/>
        <charset val="204"/>
        <scheme val="minor"/>
      </rPr>
      <t xml:space="preserve"> (Затраты представлены в тыс рублей без НДС, "освоение")</t>
    </r>
  </si>
  <si>
    <r>
      <t xml:space="preserve">Разработка и внедрение Корпоративной системы управления основными данными розничного бизнеса (MDM) 
Руководитель проекта: Закалин А.А. 
</t>
    </r>
    <r>
      <rPr>
        <b/>
        <sz val="14"/>
        <color indexed="2"/>
        <rFont val="Calibri"/>
        <family val="2"/>
        <charset val="204"/>
        <scheme val="minor"/>
      </rPr>
      <t>Проект завершается в 2023 году (развитие с 2024)</t>
    </r>
  </si>
  <si>
    <t>Мотивационный фонд</t>
  </si>
  <si>
    <t>ПАО "Интер РАО"</t>
  </si>
  <si>
    <t>Итого мотивационный фонд:</t>
  </si>
  <si>
    <t>OPEX</t>
  </si>
  <si>
    <t>Итого OPEX:</t>
  </si>
  <si>
    <r>
      <t xml:space="preserve">Внедрение комплекса централизованных систем (КЦС) Группы по взаимодействию с клиентами – юридическими лицами (ЮЛ).
Ввод в 2022 году
Руководитель проекта: Балашова А.С.
</t>
    </r>
    <r>
      <rPr>
        <b/>
        <sz val="14"/>
        <color indexed="2"/>
        <rFont val="Calibri"/>
        <family val="2"/>
        <charset val="204"/>
        <scheme val="minor"/>
      </rPr>
      <t>Проект завершается в 2023 году (развитие с 2024)</t>
    </r>
  </si>
  <si>
    <r>
      <t xml:space="preserve">Внедрение Инновационного биллинга ФЛ (проект "Пальмира"). 
Ответственный: Петрин А.С. (Локальный проект на ПСК)
</t>
    </r>
    <r>
      <rPr>
        <b/>
        <sz val="14"/>
        <color indexed="2"/>
        <rFont val="Calibri"/>
        <family val="2"/>
        <charset val="204"/>
        <scheme val="minor"/>
      </rPr>
      <t>Проект завершается в 2023 году (развитие с 2024)</t>
    </r>
    <r>
      <rPr>
        <b/>
        <sz val="14"/>
        <color theme="1"/>
        <rFont val="Calibri"/>
        <family val="2"/>
        <charset val="204"/>
        <scheme val="minor"/>
      </rPr>
      <t/>
    </r>
  </si>
  <si>
    <t>Сопровождение</t>
  </si>
  <si>
    <r>
      <t xml:space="preserve">Внедрение Инновационного биллинга ФЛ (проект "Сибирь"). 
Ответственный: Петрин А.С. (локалиный проект на ОЭК)
</t>
    </r>
    <r>
      <rPr>
        <b/>
        <sz val="14"/>
        <color indexed="2"/>
        <rFont val="Calibri"/>
        <family val="2"/>
        <charset val="204"/>
        <scheme val="minor"/>
      </rPr>
      <t>Проект завершается в 2023 году (развитие с 2024)</t>
    </r>
    <r>
      <rPr>
        <b/>
        <sz val="14"/>
        <color theme="1"/>
        <rFont val="Calibri"/>
        <family val="2"/>
        <charset val="204"/>
        <scheme val="minor"/>
      </rPr>
      <t/>
    </r>
  </si>
  <si>
    <r>
      <t>Внедрение Инновационного биллинга ФЛ ("Пальмира"+"Сибирь"). 
Ответственный: Петрин А.С. (Тираж на ДО,</t>
    </r>
    <r>
      <rPr>
        <b/>
        <sz val="14"/>
        <color indexed="2"/>
        <rFont val="Calibri"/>
        <family val="2"/>
        <charset val="204"/>
        <scheme val="minor"/>
      </rPr>
      <t xml:space="preserve"> в 2024 году?</t>
    </r>
    <r>
      <rPr>
        <b/>
        <sz val="14"/>
        <color theme="1"/>
        <rFont val="Calibri"/>
        <family val="2"/>
        <charset val="204"/>
        <scheme val="minor"/>
      </rPr>
      <t xml:space="preserve">)
</t>
    </r>
    <r>
      <rPr>
        <b/>
        <sz val="14"/>
        <color indexed="2"/>
        <rFont val="Calibri"/>
        <family val="2"/>
        <charset val="204"/>
        <scheme val="minor"/>
      </rPr>
      <t>НОВЫЙ ПРОЕКТ</t>
    </r>
    <r>
      <rPr>
        <b/>
        <sz val="14"/>
        <color theme="1"/>
        <rFont val="Calibri"/>
        <family val="2"/>
        <charset val="204"/>
        <scheme val="minor"/>
      </rPr>
      <t/>
    </r>
  </si>
  <si>
    <r>
      <t xml:space="preserve">НЕВА
Руководитель проекта: Опря Ю.В.
Статус:  </t>
    </r>
    <r>
      <rPr>
        <b/>
        <sz val="14"/>
        <color indexed="2"/>
        <rFont val="Calibri"/>
        <family val="2"/>
        <charset val="204"/>
        <scheme val="minor"/>
      </rPr>
      <t>Пилот завершен. Тираж в 2024 году?</t>
    </r>
  </si>
  <si>
    <t>Построение интеллектуальной системы учета ИСУ.
Руководитель проекта: Марков Д.Н./Сысоев Д.А.</t>
  </si>
  <si>
    <t>ПАО "ИнтерРАО"</t>
  </si>
  <si>
    <r>
      <t>OPEX.</t>
    </r>
    <r>
      <rPr>
        <b/>
        <sz val="14"/>
        <color indexed="2"/>
        <rFont val="Calibri"/>
        <family val="2"/>
        <charset val="204"/>
        <scheme val="minor"/>
      </rPr>
      <t xml:space="preserve"> Входит ТП ИВК+Пионер (Функциональная, Платформа и ИБ, ПАК), обеспечение ИБ, ТП АИИС КУЭ, планируется корректировка в части GSM трафика</t>
    </r>
  </si>
  <si>
    <t>11. GSM ТРАФИК</t>
  </si>
  <si>
    <t>14. ТЕХНИЧЕСКОЕ ОБСЛУЖИВАНИЕ СИСТЕМЫ АИИС КУЭ</t>
  </si>
  <si>
    <t>12. ТЕХНИЧЕСКАЯ ПОДДЕРЖКА оборудования, системного ПО и ИБ/Предоставление доступа</t>
  </si>
  <si>
    <t xml:space="preserve">13. ТЕХНИЧЕСКАЯ ПОДДЕРЖКА ПО ИВК, СУП СПД "Пионер" и АРМ Оператора ИВК </t>
  </si>
  <si>
    <r>
      <t xml:space="preserve">Затраты к включению в БП на 2024-2028 на сопровождение центролизованных сиситем, курируемых ЦРБ
</t>
    </r>
    <r>
      <rPr>
        <sz val="14"/>
        <color theme="1"/>
        <rFont val="Calibri"/>
        <family val="2"/>
        <charset val="204"/>
        <scheme val="minor"/>
      </rPr>
      <t xml:space="preserve"> (Затраты представлены в тыс рублей без НДС)</t>
    </r>
  </si>
  <si>
    <t>Комметарии к 2023 году</t>
  </si>
  <si>
    <r>
      <t xml:space="preserve">Сопровождение мобильного приложения ЛКК для ЮЛ. (СИГМА) </t>
    </r>
    <r>
      <rPr>
        <b/>
        <sz val="14"/>
        <color indexed="2"/>
        <rFont val="Calibri"/>
        <family val="2"/>
        <charset val="204"/>
        <scheme val="minor"/>
      </rPr>
      <t>c 2023 года перевод в Клиент-Онлайн</t>
    </r>
    <r>
      <rPr>
        <b/>
        <sz val="14"/>
        <color theme="1"/>
        <rFont val="Calibri"/>
        <family val="2"/>
        <charset val="204"/>
        <scheme val="minor"/>
      </rPr>
      <t xml:space="preserve">
Ответственный: </t>
    </r>
  </si>
  <si>
    <t>Сопровождение ИТ платформы расчетов с ЮЛ Биллинг ИК (тыс. руб. без НДС) (СИГМА)
Ответственный:</t>
  </si>
  <si>
    <t>ПТП ЕБ и CRM, 2022 ПСК (СИГМА) затраты перевыставляет на ЭСК с 2022 года</t>
  </si>
  <si>
    <t>ПТП ЕБ и CRM, (2022 ПСК с 29.07.2022 для всех ЭСК)</t>
  </si>
  <si>
    <r>
      <t xml:space="preserve">Сопровождение ИТ платформы расчетов с ФЛ (Форсаж). Включая сопровождение </t>
    </r>
    <r>
      <rPr>
        <b/>
        <sz val="14"/>
        <color indexed="2"/>
        <rFont val="Calibri"/>
        <family val="2"/>
        <charset val="204"/>
        <scheme val="minor"/>
      </rPr>
      <t xml:space="preserve">ЛКК (КП от ИРАОН?), </t>
    </r>
    <r>
      <rPr>
        <b/>
        <sz val="14"/>
        <color theme="1"/>
        <rFont val="Calibri"/>
        <family val="2"/>
        <charset val="204"/>
        <scheme val="minor"/>
      </rPr>
      <t>СУВК, Биллинга Ответственный:</t>
    </r>
  </si>
  <si>
    <t>- снижение по сравнению с 2022 годом на 64 чч</t>
  </si>
  <si>
    <t>ООО "ОРЦ" (МЭС)</t>
  </si>
  <si>
    <t>ООО "ОРЦ" (АЭС)</t>
  </si>
  <si>
    <t>ООО "ОРЦ" (ТЭСК)</t>
  </si>
  <si>
    <t>ООО "ОРЦ" (ТЭС)</t>
  </si>
  <si>
    <t>ООО "ОРЦ" (СЭ)</t>
  </si>
  <si>
    <t>ООО "ОРЦ" (ОЭС)</t>
  </si>
  <si>
    <t>ООО "ОРЦ" (ЭСКБ)</t>
  </si>
  <si>
    <t xml:space="preserve"> ООО "ОРЦ" (ЭСВ)</t>
  </si>
  <si>
    <t>ООО "ОРЦ" (ССК)</t>
  </si>
  <si>
    <t>Итого ООО "ОРЦ"</t>
  </si>
  <si>
    <t>Биллинг ФЛ (ИСУСЭБП) (СИГМА)</t>
  </si>
  <si>
    <t xml:space="preserve">На хостинг ДИТ МЭС, 1я линия ТП+ТП ИАС с 2022 </t>
  </si>
  <si>
    <t>СУВК с 2022 объединено в единый договор ТП ИТ платформы расчетов с ФЛ (Форсаж)</t>
  </si>
  <si>
    <r>
      <t>Сопровождение ЛКК для ЮЛ.  (СИГМА)</t>
    </r>
    <r>
      <rPr>
        <b/>
        <sz val="14"/>
        <color indexed="2"/>
        <rFont val="Calibri"/>
        <family val="2"/>
        <charset val="204"/>
        <scheme val="minor"/>
      </rPr>
      <t xml:space="preserve"> c 2023 года перевод в Клиент-Онлайн</t>
    </r>
    <r>
      <rPr>
        <b/>
        <sz val="14"/>
        <color theme="1"/>
        <rFont val="Calibri"/>
        <family val="2"/>
        <charset val="204"/>
        <scheme val="minor"/>
      </rPr>
      <t xml:space="preserve">
Ответственный:</t>
    </r>
  </si>
  <si>
    <t>Сопровождение CRM системы юридических лиц.  (СИГМА)
Ответственный:</t>
  </si>
  <si>
    <t>Сопровождение инновационного биллинга ФЛ (проект "Пальмира" + проект "Сибирь").  (СИГМА)
Ответственный: Петрин А.С. До завершения проекта</t>
  </si>
  <si>
    <t>Сопровождение CRM ФЛ (проект "Пальмира" + проект "Сибирь").  (СИГМА)
Ответственный: Петрин А.С. До завершения проекта</t>
  </si>
  <si>
    <t>"Корпоративной системы управления основными данными розничного бизнеса (MDM)"
Руководитель проекта: Закалин А.А. до завершения проекта</t>
  </si>
  <si>
    <t>Техническая поддержка лицензий Сигма.МДМ</t>
  </si>
  <si>
    <t>Предоставление доступа к "Корпоративной системе управления основными данными розничного бизнеса (MDM)"(срок в 22г с 05 по 12) ДИТ МЭС</t>
  </si>
  <si>
    <t>Сопровождение "Корпоративной системы управления основными данными розничного бизнеса (MDM)"(срок в 22г с 05 по 12) (СИГМА)</t>
  </si>
  <si>
    <t>Сопровождение "Корпоративной системы управления основными данными розничного бизнеса (MDM)"(срок в 22г с 05 по 12) ДИТ МЭС</t>
  </si>
  <si>
    <t>АО Мосэнергосбыт перевыставляет(доходный договор) :</t>
  </si>
  <si>
    <t>Клиент Онлайн
Отвтетственный Ткаченко А./Новикова О.И.</t>
  </si>
  <si>
    <t>сопровождение системы (OPEX)</t>
  </si>
  <si>
    <t xml:space="preserve">подписка на доступ к системе (OPEX), тыс. руб. </t>
  </si>
  <si>
    <r>
      <t>НЕВА</t>
    </r>
    <r>
      <rPr>
        <b/>
        <sz val="14"/>
        <color indexed="2"/>
        <rFont val="Calibri"/>
        <family val="2"/>
        <charset val="204"/>
        <scheme val="minor"/>
      </rPr>
      <t xml:space="preserve"> (Пилот завершен. Тираж в 2024 году? ТП будет в 2024 на пилотных ЭСК?)</t>
    </r>
    <r>
      <rPr>
        <b/>
        <sz val="14"/>
        <color theme="1"/>
        <rFont val="Calibri"/>
        <family val="2"/>
        <charset val="204"/>
        <scheme val="minor"/>
      </rPr>
      <t xml:space="preserve">
Руководитель проекта: Василькова Т.А.</t>
    </r>
  </si>
  <si>
    <t>Клиент On-line - развитие системы (CAPEX), тыс.руб. 
Ответственный: Ткаченко А. (ИРАОН)/Константинов А.А.</t>
  </si>
  <si>
    <r>
      <t>Клиент On-line - сопровождение системы (OPEX), тыс.руб. 
Ответственный: Ткаченко А. (ИРАОН)/</t>
    </r>
    <r>
      <rPr>
        <b/>
        <sz val="14"/>
        <color indexed="2"/>
        <rFont val="Calibri"/>
        <family val="2"/>
        <charset val="204"/>
        <scheme val="minor"/>
      </rPr>
      <t>Новикова О.И.</t>
    </r>
  </si>
  <si>
    <r>
      <t>Клиент On-line - подписка на доступ к системе (OPEX), тыс. руб. 
Ответственный: Ткаченко А. (ИРАОН)/</t>
    </r>
    <r>
      <rPr>
        <b/>
        <sz val="14"/>
        <color indexed="2"/>
        <rFont val="Calibri"/>
        <family val="2"/>
        <charset val="204"/>
        <scheme val="minor"/>
      </rPr>
      <t>Новикова О.И.</t>
    </r>
  </si>
  <si>
    <t>Клиент On-line - внедрение платформы, тыс.руб. 
Ответственный: Ткаченко А. (ИРАОН)/Забелина Ю.С.</t>
  </si>
  <si>
    <t>Клиент On-line - приобретение бессрочной лицензии, тыс.руб. 
Ответственный: Ткаченко А. (ИРАОН)</t>
  </si>
  <si>
    <t>Затраты по ДО на 2022 год</t>
  </si>
  <si>
    <t>Подписка</t>
  </si>
  <si>
    <t>Лицензия</t>
  </si>
  <si>
    <t>Внедрение</t>
  </si>
  <si>
    <t>Чистая База_Pfnfhns 2023 ujl
Ответственный: Анисимов В.П. (ИРАОН)</t>
  </si>
  <si>
    <t>ЛС</t>
  </si>
  <si>
    <t>ТИРАЖ</t>
  </si>
  <si>
    <t>ТП</t>
  </si>
  <si>
    <t>Без НДС</t>
  </si>
  <si>
    <t>НДС</t>
  </si>
  <si>
    <t>с НДС</t>
  </si>
  <si>
    <t>Мосэнергосбыт АО</t>
  </si>
  <si>
    <t>Петербургская сбытовая компания АО</t>
  </si>
  <si>
    <t>ЭСКБ ООО</t>
  </si>
  <si>
    <t>ЭСВ ООО</t>
  </si>
  <si>
    <t>ССК ООО</t>
  </si>
  <si>
    <t>Алтайэнергосбыт АО</t>
  </si>
  <si>
    <t>Саратовэнерго ПАО</t>
  </si>
  <si>
    <t>Орловский энергосбыт ООО</t>
  </si>
  <si>
    <t>Томскэнергосбыт АО</t>
  </si>
  <si>
    <t>Тамбовская энергосбытовая компания ПАО</t>
  </si>
  <si>
    <t>Омская энергосбытовая компания ООО</t>
  </si>
  <si>
    <t>ВСЕГО (сопровождение)</t>
  </si>
  <si>
    <t>ВСЕГО без МЭС (тираж 2023)</t>
  </si>
  <si>
    <t>стоимость тиражирования 1 ЛС</t>
  </si>
  <si>
    <t>стоимость сопровождения 1 ЛС</t>
  </si>
  <si>
    <t>ЭСК без МЭС</t>
  </si>
  <si>
    <t>ВСЕГО с МЭС (тираж 2022-2023)</t>
  </si>
  <si>
    <r>
      <t xml:space="preserve">Затраты к включению в БП на 2022-2026 на сопровождение систем АО "Мосэнергосбыт"
</t>
    </r>
    <r>
      <rPr>
        <sz val="14"/>
        <color theme="1"/>
        <rFont val="Calibri"/>
        <family val="2"/>
        <charset val="204"/>
        <scheme val="minor"/>
      </rPr>
      <t xml:space="preserve"> (Затраты представлены в тыс рублей без НДС)</t>
    </r>
  </si>
  <si>
    <t>Сопровождение ИС АО "Мосэнергосбыт".
Ответственный: Забелина Ю.С.</t>
  </si>
  <si>
    <t xml:space="preserve">Единые сервисы "Личный кабинет частного клиента" физического лица "ЕЛКК", "Интерактивное приложение ЛКК ЖКХ "Мой Мосэнергосбыт". </t>
  </si>
  <si>
    <t>Централизованная система</t>
  </si>
  <si>
    <t>Сервисы "ЛКК ЮЛ",  "Личный кабинет для юридических лиц-ЮЗДО"</t>
  </si>
  <si>
    <t>Децентрализованная система</t>
  </si>
  <si>
    <t>"Горячая" линия "Личного кабинета клиента-юридического лица (Версия 2.0)"</t>
  </si>
  <si>
    <t>Информационно-аналитическая система контроля и мониторинга (СКИМ) информационных процессов Процессингового центра</t>
  </si>
  <si>
    <t>Частично централизованная система*</t>
  </si>
  <si>
    <t>Подсистема "Претензионно-исковая работа" Системы управления энергосбытовой деятельностью (СУЭД)</t>
  </si>
  <si>
    <t>Интеграция "Системы управления энергосбытовой деятельностью" (СУЭД) и Государственной информационной системы жилищно-коммунального хозяйства (ГИС ЖКХ)</t>
  </si>
  <si>
    <t>Информационная система Электронный архив данных</t>
  </si>
  <si>
    <t>"Корпоративная интеграционная сервисная шина"</t>
  </si>
  <si>
    <t>"Автоматизированная система управления мобильными бригадами" (АСУМБ)</t>
  </si>
  <si>
    <t>Программа для ЭВМ БФЛ ЖКХ 2.0 (БИЛЛИНГ УСЛУГ ЖКХ ДЛЯ ФИЗИЧЕСКИХ ЛИЦ, ВЕРСИЯ 2.0) в части проведения расчетов по услуге по обращению с ТКО.</t>
  </si>
  <si>
    <t>Информационная система "Умная Дебиторская Задолженность"</t>
  </si>
  <si>
    <t>Единая автоматизированная система взаимодействия с клиентами на базе СУВК (СУВК 2.0)</t>
  </si>
  <si>
    <t>Система управления энергосбытовой деятельности Универсальный интерфейс (API)</t>
  </si>
  <si>
    <t>Единая система ведения нормативно-справочной информации (ЕС НСИ)</t>
  </si>
  <si>
    <t xml:space="preserve">Информационно-аналитическая система </t>
  </si>
  <si>
    <t>ИТ-платформа расчетов с ЮЛ Биллинг ИК (ЕБЮЛ ИК)</t>
  </si>
  <si>
    <t>Личный кабинет клиента-юридического лица (ЕБЮЛ ИК)</t>
  </si>
  <si>
    <t>Мобильное приложение ЛКК ЮЛ (ЕБЮЛ ИК)</t>
  </si>
  <si>
    <t>CRM ЮЛ (ЕБЮЛ ИК)</t>
  </si>
  <si>
    <t>Паспорт согласован для рассмотрении на правлении (в ИПР2022-2026 расходы на проект не включены)</t>
  </si>
  <si>
    <t>* в части ФЛ система централизована, в части ЮЛ - децентрализована</t>
  </si>
  <si>
    <t>ИС АО "Мосэнергосбыт"</t>
  </si>
  <si>
    <t>Общее</t>
  </si>
  <si>
    <t>ОРЦ, план 2022 год</t>
  </si>
  <si>
    <t>МЭС, план 2022</t>
  </si>
  <si>
    <t>кол-во чч*</t>
  </si>
  <si>
    <t>%, в суммарном кол-ве чч</t>
  </si>
  <si>
    <t>ст-ть чч на 2022, руб. без НДС</t>
  </si>
  <si>
    <t>сумма на 2022 год, руб. без НДС</t>
  </si>
  <si>
    <t>Планово МЭС в составе общего договора ТП ОРЦ-ИС</t>
  </si>
  <si>
    <t>Кол-во чч</t>
  </si>
  <si>
    <t>Планируемая сумма ТП МЭС -ИС</t>
  </si>
  <si>
    <t>стр. 26</t>
  </si>
  <si>
    <t>СУЭД</t>
  </si>
  <si>
    <t>стр. 28</t>
  </si>
  <si>
    <t>ИАС</t>
  </si>
  <si>
    <t>стр. 17</t>
  </si>
  <si>
    <t>СКИМ</t>
  </si>
  <si>
    <t>ИТОГО</t>
  </si>
  <si>
    <t>* - плановые ежегодные затраты в 2021, на основании письма МЭС МЭС/КП/1/456 от 10.09.2021</t>
  </si>
  <si>
    <t>Приведение затрат ТЭС на ТП Форсаж к затратам на ТП Форсаж сопоставимого ЭСК (АЭС) в 2022 году</t>
  </si>
  <si>
    <t>МЭС по ТКП ИС на 2022 год</t>
  </si>
  <si>
    <t>Перенос на МЭС (ТЭС)</t>
  </si>
  <si>
    <r>
      <t xml:space="preserve">ИТОГО </t>
    </r>
    <r>
      <rPr>
        <b/>
        <sz val="11"/>
        <color indexed="2"/>
        <rFont val="Calibri"/>
        <family val="2"/>
        <charset val="204"/>
        <scheme val="minor"/>
      </rPr>
      <t>МЭС</t>
    </r>
    <r>
      <rPr>
        <b/>
        <sz val="11"/>
        <color theme="1"/>
        <rFont val="Calibri"/>
        <family val="2"/>
        <charset val="204"/>
        <scheme val="minor"/>
      </rPr>
      <t xml:space="preserve"> (новое ТКП), 2022</t>
    </r>
  </si>
  <si>
    <t>Наименование ИС</t>
  </si>
  <si>
    <t>тыс. руб., без НДС</t>
  </si>
  <si>
    <t>ставка чч, руб. без НДС</t>
  </si>
  <si>
    <t>кол-во чд</t>
  </si>
  <si>
    <t>Спаравочно:</t>
  </si>
  <si>
    <t>ТЭС</t>
  </si>
  <si>
    <t>АЭС</t>
  </si>
  <si>
    <r>
      <t xml:space="preserve">ИТОГО </t>
    </r>
    <r>
      <rPr>
        <b/>
        <sz val="11"/>
        <color indexed="2"/>
        <rFont val="Calibri"/>
        <family val="2"/>
        <charset val="204"/>
        <scheme val="minor"/>
      </rPr>
      <t>ТЭС</t>
    </r>
    <r>
      <rPr>
        <b/>
        <sz val="11"/>
        <color theme="1"/>
        <rFont val="Calibri"/>
        <family val="2"/>
        <charset val="204"/>
        <scheme val="minor"/>
      </rPr>
      <t xml:space="preserve"> (новое ТКП), 2022</t>
    </r>
  </si>
  <si>
    <t>Сопровождение ИТ платформы расчетов с ФЛ (Форсаж). Включая сопровождение ЛКК, СУВК, Биллинга</t>
  </si>
  <si>
    <r>
      <t xml:space="preserve">Затраты к включению в БП на 2022-2026 в части центролизованных сиситем, курируемых БРБ
</t>
    </r>
    <r>
      <rPr>
        <sz val="14"/>
        <color theme="1"/>
        <rFont val="Calibri"/>
        <family val="2"/>
        <charset val="204"/>
        <scheme val="minor"/>
      </rPr>
      <t xml:space="preserve"> (Затраты представлены в тыс рублей без НДС)</t>
    </r>
  </si>
  <si>
    <t>КСУ ОД РБ (мотивационный фонд)</t>
  </si>
  <si>
    <t>Клиент On-line (тех.поддержка)</t>
  </si>
  <si>
    <t xml:space="preserve"> ООО «ЕИРЦ ТО»</t>
  </si>
  <si>
    <t>Клиент On-line (мотивационный фонд команды)</t>
  </si>
  <si>
    <t>Биллинг ЮЛ ИК</t>
  </si>
  <si>
    <t>CRM ЮЛ</t>
  </si>
  <si>
    <t>ЛКК ЮЛ</t>
  </si>
  <si>
    <t>Биллинг ФЛ</t>
  </si>
  <si>
    <t>СУВК</t>
  </si>
  <si>
    <t>ЛКК ФЛ</t>
  </si>
  <si>
    <t>Исходная сумма центра методологии</t>
  </si>
  <si>
    <t>Расчет предельного количества ч/ч в статье</t>
  </si>
  <si>
    <t>Проверка на превышение руб. без НДС</t>
  </si>
  <si>
    <t>ФИНАЛ. Расчет суммы статьи по количеству ч/ч</t>
  </si>
  <si>
    <t>Итого
(2022-2026)</t>
  </si>
  <si>
    <t>Развитие личного кабинета клиента юридического лица (ЛКК ЮЛ )</t>
  </si>
  <si>
    <t>Способ расчёта</t>
  </si>
  <si>
    <t>Количество договоров/ТП</t>
  </si>
  <si>
    <t>По договорам</t>
  </si>
  <si>
    <t xml:space="preserve">Стоимость одного договора </t>
  </si>
  <si>
    <t>Коэффициент индексации</t>
  </si>
  <si>
    <t>Стоимость одного договора с учётом коэффициента индексации</t>
  </si>
  <si>
    <t>* расчёт по данным 2018 года</t>
  </si>
  <si>
    <t>Развитие мобильного приложения личного кабинета клиента юридического лица (МП ЛКК ЮЛ)</t>
  </si>
  <si>
    <t>Модернизация системы «Единый биллинг юридических лиц. Импортозамещенная конфигурация»</t>
  </si>
  <si>
    <t>Развитие системы «Инновационный биллинг «Пальмира» (2025)</t>
  </si>
  <si>
    <t>Развитие системы «Мобильный контролер»» (2025)</t>
  </si>
  <si>
    <t>Модернизация системы электронного архива (2025)</t>
  </si>
  <si>
    <t>Развитие системы управления потоками сбора и передачи данных «Пионер»(СУП СПД «Пионер»)</t>
  </si>
  <si>
    <t>Развитие информационного вычислительного комплекса (ИВК)</t>
  </si>
  <si>
    <t xml:space="preserve">Модернизация Единой Информационно-аналитической системы» </t>
  </si>
  <si>
    <t xml:space="preserve">Развитие системы «CRM юридических лиц» </t>
  </si>
  <si>
    <t>Приобретение лицензий на программное обеспечение роботизированной автоматизации процессов</t>
  </si>
  <si>
    <t xml:space="preserve">Сумма имеющегося ТКП (по ставке 3371) </t>
  </si>
  <si>
    <t>Примечание</t>
  </si>
  <si>
    <t>Стоимость расчетная</t>
  </si>
  <si>
    <t>чел/часы</t>
  </si>
  <si>
    <t>Соответствует файлу ЦРБ</t>
  </si>
  <si>
    <t>отдельный проект</t>
  </si>
  <si>
    <t>отдельный новый проект, если будет решение</t>
  </si>
  <si>
    <t xml:space="preserve">Развитие систем роботизации бизнес-процессов </t>
  </si>
  <si>
    <t>Сумма 2025 корректир</t>
  </si>
  <si>
    <t xml:space="preserve">ТКП (по ставке 3987) </t>
  </si>
  <si>
    <t xml:space="preserve">ТКП (по ставке 4318) </t>
  </si>
  <si>
    <t xml:space="preserve">ТКП (по ставке 4650) </t>
  </si>
  <si>
    <t xml:space="preserve">ТКП по ставке 3675) </t>
  </si>
  <si>
    <t>Сумма по текущей редакции ИПР 2025</t>
  </si>
  <si>
    <t>рекомендованная ставка</t>
  </si>
  <si>
    <t>Сумма 2026-2029 корректир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</si>
</sst>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3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&quot;$&quot;#,##0_);[Red]\(&quot;$&quot;#,##0\)"/>
    <numFmt numFmtId="167" formatCode="#,##0.0_);\(#,##0.0\)"/>
    <numFmt numFmtId="168" formatCode="#,##0;\(#,##0\)"/>
    <numFmt numFmtId="169" formatCode="_-* #,##0.00\ _$_-;\-* #,##0.00\ _$_-;_-* &quot;-&quot;??\ _$_-;_-@_-"/>
    <numFmt numFmtId="170" formatCode="_-* #,##0.00&quot;р.&quot;_-;\-* #,##0.00&quot;р.&quot;_-;_-* &quot;-&quot;??&quot;р.&quot;_-;_-@_-"/>
    <numFmt numFmtId="171" formatCode="#,##0;\(#,##0\);&quot;-&quot;"/>
    <numFmt numFmtId="172" formatCode="_-* #,##0_)_-;\-* \(#,##0\)_-;_-* &quot;-&quot;_)_-;_-@_-"/>
    <numFmt numFmtId="173" formatCode="@\ *."/>
    <numFmt numFmtId="174" formatCode="_-* #,##0\ &quot;руб&quot;_-;\-* #,##0\ &quot;руб&quot;_-;_-* &quot;-&quot;\ &quot;руб&quot;_-;_-@_-"/>
    <numFmt numFmtId="175" formatCode="000000"/>
    <numFmt numFmtId="176" formatCode="General_)"/>
    <numFmt numFmtId="177" formatCode="#,##0\в"/>
    <numFmt numFmtId="178" formatCode="#,##0.000_ ;\-#,##0.000\ "/>
    <numFmt numFmtId="179" formatCode="#,##0.00_ ;[Red]\-#,##0.00\ "/>
    <numFmt numFmtId="180" formatCode="0.000"/>
    <numFmt numFmtId="181" formatCode="#,##0.00&quot;р.&quot;;\-#,##0.00&quot;р.&quot;"/>
    <numFmt numFmtId="182" formatCode="0.0"/>
    <numFmt numFmtId="183" formatCode="#,##0.000"/>
    <numFmt numFmtId="184" formatCode="#,##0\т"/>
    <numFmt numFmtId="185" formatCode="_-* #,##0\ _р_._-;\-* #,##0\ _р_._-;_-* &quot;-&quot;\ _р_._-;_-@_-"/>
    <numFmt numFmtId="186" formatCode="_-* #,##0.00\ _р_._-;\-* #,##0.00\ _р_._-;_-* &quot;-&quot;??\ _р_._-;_-@_-"/>
    <numFmt numFmtId="187" formatCode="_-* #,##0_р_._-;\-* #,##0_р_._-;_-* &quot;-&quot;??_р_._-;_-@_-"/>
    <numFmt numFmtId="188" formatCode="_-* #,##0.00_р_._-;\-* #,##0.00_р_._-;_-* &quot;-&quot;??_р_._-;_-@_-"/>
    <numFmt numFmtId="189" formatCode="_-&quot;£&quot;* #,##0.00_-;\-&quot;£&quot;* #,##0.00_-;_-&quot;£&quot;* &quot;-&quot;??_-;_-@_-"/>
    <numFmt numFmtId="190" formatCode="_-* #,##0\ _$_-;\-* #,##0\ _$_-;_-* &quot;-&quot;\ _$_-;_-@_-"/>
    <numFmt numFmtId="191" formatCode="#,##0.00_ ;[Red]\-#,##0.00\ ;&quot;- &quot;"/>
    <numFmt numFmtId="192" formatCode="#,##0_ ;[Red]\-#,##0\ ;&quot;- &quot;"/>
    <numFmt numFmtId="193" formatCode="#,##0.00_ ;\-#,##0.00\ "/>
    <numFmt numFmtId="194" formatCode="0.0_)"/>
    <numFmt numFmtId="195" formatCode="_ * #,##0.00_)&quot;F&quot;_ ;_ * \(#,##0.00\)&quot;F&quot;_ ;_ * &quot;-&quot;??_)&quot;F&quot;_ ;_ @_ "/>
    <numFmt numFmtId="196" formatCode="&quot;fl&quot;#,##0_);\(&quot;fl&quot;#,##0\)"/>
    <numFmt numFmtId="197" formatCode="&quot;fl&quot;#,##0_);[Red]\(&quot;fl&quot;#,##0\)"/>
    <numFmt numFmtId="198" formatCode="_(* #,##0.0_);_(* \(#,##0.00\);_(* &quot;-&quot;??_);_(@_)"/>
    <numFmt numFmtId="199" formatCode="&quot;fl&quot;#,##0.00_);\(&quot;fl&quot;#,##0.00\)"/>
    <numFmt numFmtId="200" formatCode="&quot;error&quot;;&quot;error&quot;;&quot;OK&quot;;&quot;  &quot;@"/>
    <numFmt numFmtId="201" formatCode="#,##0;\-#,##0;\-"/>
    <numFmt numFmtId="202" formatCode="#,##0.0;\-#,##0.0;\-"/>
    <numFmt numFmtId="203" formatCode="0.00%;\-0.00%;\-"/>
    <numFmt numFmtId="204" formatCode="[$-409]d\-mmm\-yy;@"/>
    <numFmt numFmtId="205" formatCode="0000"/>
    <numFmt numFmtId="206" formatCode="##,#0_;\(#,##0\);&quot;-&quot;??_);@"/>
    <numFmt numFmtId="207" formatCode="*(#,##0\);*#\,##0_);&quot;-&quot;??_);@"/>
    <numFmt numFmtId="208" formatCode="_*\(#,##0\);_*#,##0_);&quot;-&quot;??_);@"/>
    <numFmt numFmtId="209" formatCode="_-* #,##0.00\ _€_-;\-* #,##0.00\ _€_-;_-* &quot;-&quot;??\ _€_-;_-@_-"/>
    <numFmt numFmtId="210" formatCode="_-* #,##0_ð_._-;\-* #,##0_ð_._-;_-* &quot;-&quot;_ð_._-;_-@_-"/>
    <numFmt numFmtId="211" formatCode="_(* #,##0.0_);_(* \(#,##0.0\);_(* &quot;-&quot;??_);_(@_)"/>
    <numFmt numFmtId="212" formatCode="* \(#,##0\);* #,##0_);&quot;-&quot;??_);@"/>
    <numFmt numFmtId="213" formatCode="&quot;$&quot;#,##0.00_);[Red]\(&quot;$&quot;#,##0.00\)"/>
    <numFmt numFmtId="214" formatCode="#,##0_);\(#,##0\);&quot;-&quot;??_);@"/>
    <numFmt numFmtId="215" formatCode="* #,##0_);* \(#,##0\);&quot;-&quot;??_);@"/>
    <numFmt numFmtId="216" formatCode="_(&quot;$&quot;* #,##0.00_);_(&quot;$&quot;* \(#,##0.00\);_(&quot;$&quot;* &quot;-&quot;??_);_(@_)"/>
    <numFmt numFmtId="217" formatCode="\$#,##0\ ;\(\$#,##0\)"/>
    <numFmt numFmtId="218" formatCode="dd\ mmm\ yyyy_);;;&quot;  &quot;@"/>
    <numFmt numFmtId="219" formatCode="dd\.mm\.yyyy&quot;г.&quot;"/>
    <numFmt numFmtId="220" formatCode="mmmm\ d\,\ yyyy"/>
    <numFmt numFmtId="221" formatCode="_-* #,##0&quot;р.&quot;_-;\-* #,##0&quot;р.&quot;_-;_-* &quot;-&quot;&quot;р.&quot;_-;_-@_-"/>
    <numFmt numFmtId="222" formatCode="_(* #,###.0_);_(* \(#,###.0\);_(* &quot;-&quot;?_);_(@_)"/>
    <numFmt numFmtId="223" formatCode="#,##0_);\(#,##0\);&quot;- &quot;;&quot;  &quot;@"/>
    <numFmt numFmtId="224" formatCode="_-* #,##0\ _D_M_-;\-* #,##0\ _D_M_-;_-* &quot;-&quot;\ _D_M_-;_-@_-"/>
    <numFmt numFmtId="225" formatCode="_-* #,##0.00\ _D_M_-;\-* #,##0.00\ _D_M_-;_-* &quot;-&quot;??\ _D_M_-;_-@_-"/>
    <numFmt numFmtId="226" formatCode="_-* #,##0\ _F_-;\-* #,##0\ _F_-;_-* &quot;-&quot;\ _F_-;_-@_-"/>
    <numFmt numFmtId="227" formatCode="_-* #,##0.00\ _F_-;\-* #,##0.00\ _F_-;_-* &quot;-&quot;??\ _F_-;_-@_-"/>
    <numFmt numFmtId="228" formatCode="_([$€-2]* #,##0.00_);_([$€-2]* \(#,##0.00\);_([$€-2]* &quot;-&quot;??_)"/>
    <numFmt numFmtId="229" formatCode="&quot;Да&quot;;&quot;Да&quot;;&quot;Нет&quot;"/>
    <numFmt numFmtId="230" formatCode="_([$€-2]* #,##0.00_);_([$€-2]* \(#,##0.00\);_([$€-2]* \-??_)"/>
    <numFmt numFmtId="231" formatCode="_(\ #,##0.0_%_);_(\ \(#,##0.0_%\);_(\ &quot; - &quot;_%_);_(@_)"/>
    <numFmt numFmtId="232" formatCode="_(\ #,##0.0%_);_(\ \(#,##0.0%\);_(\ &quot; - &quot;\%_);_(@_)"/>
    <numFmt numFmtId="233" formatCode="#,##0_);\(#,##0\);&quot; - &quot;_);@_)"/>
    <numFmt numFmtId="234" formatCode="_(* #,##0_);_(* \(#,##0\);_(* &quot; - &quot;_);_(@_)"/>
    <numFmt numFmtId="235" formatCode="\ #,##0.0_);\(#,##0.0\);&quot; - &quot;_);@_)"/>
    <numFmt numFmtId="236" formatCode="\ #,##0.00_);\(#,##0.00\);&quot; - &quot;_);@_)"/>
    <numFmt numFmtId="237" formatCode="\ #,##0.000_);\(#,##0.000\);&quot; - &quot;_);@_)"/>
    <numFmt numFmtId="238" formatCode="[Magenta]&quot;Err&quot;;[Magenta]&quot;Err&quot;;[Blue]&quot;OK&quot;"/>
    <numFmt numFmtId="239" formatCode="d\ mmmm\ yyyy"/>
    <numFmt numFmtId="240" formatCode="#,##0;[Red]\(#,##0\);0"/>
    <numFmt numFmtId="241" formatCode="General&quot;.&quot;"/>
    <numFmt numFmtId="242" formatCode="#,##0_);[Red]\(#,##0\);\-_)"/>
    <numFmt numFmtId="243" formatCode="0.0_)%;[Red]\(0.0%\);0.0_)%"/>
    <numFmt numFmtId="244" formatCode="_-* #,##0_р_._-;\-* #,##0_р_._-;_-* &quot;-&quot;_р_._-;_-@_-"/>
    <numFmt numFmtId="245" formatCode="[Red][&gt;1]&quot;&gt;100 %&quot;;[Red]\(0.0%\);0.0_)%"/>
    <numFmt numFmtId="246" formatCode="#,##0.0000_);\(#,##0.0000\);&quot;- &quot;;&quot;  &quot;@"/>
    <numFmt numFmtId="247" formatCode="0.0%"/>
    <numFmt numFmtId="248" formatCode="#,##0_ ;[Red]\-#,##0\ "/>
    <numFmt numFmtId="249" formatCode="#,##0;[Red]&quot;-&quot;#,##0"/>
    <numFmt numFmtId="250" formatCode="_-* #,##0.00\ _P_t_s_-;\-* #,##0.00\ _P_t_s_-;_-* &quot;-&quot;??\ _P_t_s_-;_-@_-"/>
    <numFmt numFmtId="251" formatCode="_-&quot;?&quot;* #,##0_-;\-&quot;?&quot;* #,##0_-;_-&quot;?&quot;* &quot;-&quot;_-;_-@_-"/>
    <numFmt numFmtId="252" formatCode="_-&quot;?&quot;* #,##0.00_-;\-&quot;?&quot;* #,##0.00_-;_-&quot;?&quot;* &quot;-&quot;??_-;_-@_-"/>
    <numFmt numFmtId="253" formatCode="_(&quot;$&quot;* #,##0_);_(&quot;$&quot;* \(#,##0\);_(&quot;$&quot;* &quot;-&quot;_);_(@_)"/>
    <numFmt numFmtId="254" formatCode="_ * #,##0_)&quot;F&quot;_ ;_ * \(#,##0\)&quot;F&quot;_ ;_ * &quot;-&quot;_)&quot;F&quot;_ ;_ @_ "/>
    <numFmt numFmtId="255" formatCode="_-&quot;£&quot;* #,##0_-;\-&quot;£&quot;* #,##0_-;_-&quot;£&quot;* &quot;-&quot;_-;_-@_-"/>
    <numFmt numFmtId="256" formatCode="#,##0.00&quot; F&quot;;[Red]\-#,##0.00&quot; F&quot;"/>
    <numFmt numFmtId="257" formatCode="#,##0.00&quot;т.р.&quot;;\-#,##0.00&quot;т.р.&quot;"/>
    <numFmt numFmtId="258" formatCode="_-* #,##0\ _d_._-;\-* #,##0\ _d_._-;_-* &quot;-&quot;\ _d_._-;_-@_-"/>
    <numFmt numFmtId="259" formatCode="_-* #,##0.00\ _d_._-;\-* #,##0.00\ _d_._-;_-* &quot;-&quot;??\ _d_._-;_-@_-"/>
    <numFmt numFmtId="260" formatCode="0.00000%"/>
    <numFmt numFmtId="261" formatCode="_-* #,##0.00_ð_._-;\-* #,##0.00_ð_._-;_-* &quot;-&quot;??_ð_._-;_-@_-"/>
    <numFmt numFmtId="262" formatCode="0.0000000%"/>
    <numFmt numFmtId="263" formatCode="&quot;See Note &quot;\ #"/>
    <numFmt numFmtId="264" formatCode="_-* #,##0_?_._-;\-* #,##0_?_._-;_-* &quot;-&quot;_?_._-;_-@_-"/>
    <numFmt numFmtId="265" formatCode="\(#,##0.0\)"/>
    <numFmt numFmtId="266" formatCode="#,##0\ &quot;?.&quot;;\-#,##0\ &quot;?.&quot;"/>
    <numFmt numFmtId="267" formatCode="_(* #,##0.0_);_(* \(#,##0.0\)"/>
    <numFmt numFmtId="268" formatCode="0%_);\(0%\)"/>
    <numFmt numFmtId="269" formatCode="\60\4\7\:"/>
    <numFmt numFmtId="270" formatCode="0.0_)%;\(0.0\)%"/>
    <numFmt numFmtId="271" formatCode="0.00_)%;\(0.00\)%"/>
    <numFmt numFmtId="272" formatCode="* \(#,##0.0\);* #,##0.0_);&quot;-&quot;??_);@"/>
    <numFmt numFmtId="273" formatCode="* \(#,##0.00\);* #,##0.00_);&quot;-&quot;??_);@"/>
    <numFmt numFmtId="274" formatCode="_(* \(#,##0.0\);_(* #,##0.0_);_(* &quot;-&quot;_);_(@_)"/>
    <numFmt numFmtId="275" formatCode="_(* \(#,##0.00\);_(* #,##0.00_);_(* &quot;-&quot;_);_(@_)"/>
    <numFmt numFmtId="276" formatCode="_(* \(#,##0.000\);_(* #,##0.000_);_(* &quot;-&quot;_);_(@_)"/>
    <numFmt numFmtId="277" formatCode="#,##0.000000;[Red]#,##0.000000"/>
    <numFmt numFmtId="278" formatCode="&quot;$&quot;#,##0.00_);\(&quot;$&quot;#,##0.00\)"/>
    <numFmt numFmtId="279" formatCode="#,##0.00;\-#,##0.00;\-"/>
    <numFmt numFmtId="280" formatCode="#,##0.00;[Red]\(#,##0.00\)"/>
    <numFmt numFmtId="281" formatCode="0.00;[Red]0.00"/>
    <numFmt numFmtId="282" formatCode="#,##0.000;\-#,##0.000;\-"/>
    <numFmt numFmtId="283" formatCode="&quot;fl&quot;#,##0.00_);[Red]\(&quot;fl&quot;#,##0.00\)"/>
    <numFmt numFmtId="284" formatCode="_(&quot;fl&quot;* #,##0_);_(&quot;fl&quot;* \(#,##0\);_(&quot;fl&quot;* &quot;-&quot;_);_(@_)"/>
    <numFmt numFmtId="285" formatCode="#,##0&quot;р.&quot;;[Red]\-#,##0&quot;р.&quot;"/>
    <numFmt numFmtId="286" formatCode="_-* #,##0.00\ &quot;Pts&quot;_-;\-* #,##0.00\ &quot;Pts&quot;_-;_-* &quot;-&quot;??\ &quot;Pts&quot;_-;_-@_-"/>
    <numFmt numFmtId="287" formatCode="_(&quot;¤&quot;* #,##0_);_(&quot;¤&quot;* \(#,##0\);_(&quot;¤&quot;* &quot;-&quot;_);_(@_)"/>
    <numFmt numFmtId="288" formatCode="_(&quot;¤&quot;* #,##0.00_);_(&quot;¤&quot;* \(#,##0.00\);_(&quot;¤&quot;* &quot;-&quot;??_);_(@_)"/>
    <numFmt numFmtId="289" formatCode="_-* #,##0.00&quot;?.&quot;_-;\-* #,##0.00&quot;?.&quot;_-;_-* &quot;-&quot;??&quot;?.&quot;_-;_-@_-"/>
    <numFmt numFmtId="290" formatCode="_ * #,##0_ ;_ * \(#,##0_ ;_ * &quot;-&quot;_ ;_ @_ "/>
    <numFmt numFmtId="291" formatCode="&quot;$&quot;#,##0.000000;[Red]&quot;$&quot;#,##0.000000"/>
    <numFmt numFmtId="292" formatCode="#,##0.0000000_$"/>
    <numFmt numFmtId="293" formatCode="&quot;$&quot;\ #,##0.00"/>
    <numFmt numFmtId="294" formatCode="_ * #,##0_ ;_ * \(#,##0_)\ ;_ * &quot;-&quot;_ ;_ @_ "/>
    <numFmt numFmtId="295" formatCode="&quot;$&quot;\ #,##0"/>
    <numFmt numFmtId="296" formatCode="&quot;$&quot;"/>
    <numFmt numFmtId="297" formatCode="_._.* #,##0_)_%;_._.* \(#,##0\)_%;_._.* \ _)_%"/>
    <numFmt numFmtId="298" formatCode="###0;\-###0;\-"/>
    <numFmt numFmtId="299" formatCode="yyyy"/>
    <numFmt numFmtId="300" formatCode="yyyy\ &quot;год&quot;"/>
    <numFmt numFmtId="301" formatCode=";;&quot;zero&quot;;&quot;  &quot;@"/>
    <numFmt numFmtId="302" formatCode="_-* #,##0\ _₽_-;\-* #,##0\ _₽_-;_-* &quot;-&quot;??\ _₽_-;_-@_-"/>
    <numFmt numFmtId="303" formatCode="_-* #,##0.00000\ _₽_-;\-* #,##0.00000\ _₽_-;_-* &quot;-&quot;??\ _₽_-;_-@_-"/>
  </numFmts>
  <fonts count="278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MS Sans Serif"/>
    </font>
    <font>
      <sz val="10"/>
      <name val="Courier"/>
    </font>
    <font>
      <sz val="10"/>
      <name val="Times New Roman Cyr"/>
    </font>
    <font>
      <sz val="10"/>
      <name val="Arial Cyr"/>
    </font>
    <font>
      <b/>
      <sz val="22"/>
      <color indexed="18"/>
      <name val="Arial"/>
      <family val="2"/>
      <charset val="204"/>
    </font>
    <font>
      <sz val="8"/>
      <name val="Verdana"/>
      <family val="2"/>
      <charset val="204"/>
    </font>
    <font>
      <b/>
      <sz val="10"/>
      <color indexed="18"/>
      <name val="Arial"/>
      <family val="2"/>
      <charset val="204"/>
    </font>
    <font>
      <b/>
      <u val="singleAccounting"/>
      <sz val="10"/>
      <color indexed="18"/>
      <name val="Arial"/>
      <family val="2"/>
      <charset val="204"/>
    </font>
    <font>
      <sz val="11"/>
      <name val="?l?r ?o?S?V?b?N"/>
    </font>
    <font>
      <sz val="10"/>
      <name val="’†?S?V?b?N‘М"/>
    </font>
    <font>
      <sz val="1"/>
      <name val="Courier"/>
    </font>
    <font>
      <b/>
      <sz val="1"/>
      <name val="Courier"/>
    </font>
    <font>
      <i/>
      <sz val="10"/>
      <color indexed="18"/>
      <name val="Arial Narrow"/>
      <family val="2"/>
      <charset val="204"/>
    </font>
    <font>
      <sz val="10"/>
      <name val="Arial Narrow"/>
      <family val="2"/>
      <charset val="204"/>
    </font>
    <font>
      <sz val="12"/>
      <name val="Courier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 CE"/>
    </font>
    <font>
      <sz val="11"/>
      <name val="Calibri"/>
      <family val="2"/>
      <charset val="204"/>
    </font>
    <font>
      <sz val="10"/>
      <name val="PragmaticaCTT"/>
    </font>
    <font>
      <sz val="11"/>
      <color indexed="65"/>
      <name val="Calibri"/>
      <family val="2"/>
      <charset val="204"/>
    </font>
    <font>
      <sz val="9"/>
      <color indexed="3"/>
      <name val="Arial"/>
      <family val="2"/>
      <charset val="204"/>
    </font>
    <font>
      <sz val="8"/>
      <name val="Helv"/>
    </font>
    <font>
      <sz val="12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8"/>
      <name val="Arial Cyr"/>
    </font>
    <font>
      <sz val="14"/>
      <color indexed="18"/>
      <name val="Arial Cyr"/>
    </font>
    <font>
      <sz val="8"/>
      <name val="Pragmatica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indexed="4"/>
      <name val="Arial Cyr"/>
    </font>
    <font>
      <b/>
      <sz val="12"/>
      <name val="Arial Cyr"/>
    </font>
    <font>
      <b/>
      <sz val="10"/>
      <name val="Arial Cyr"/>
    </font>
    <font>
      <b/>
      <sz val="18"/>
      <color indexed="62"/>
      <name val="Arial Cyr"/>
    </font>
    <font>
      <b/>
      <i/>
      <sz val="18"/>
      <color indexed="62"/>
      <name val="Arial Cyr"/>
    </font>
    <font>
      <b/>
      <sz val="16"/>
      <name val="Arial CYR"/>
    </font>
    <font>
      <b/>
      <sz val="20"/>
      <color indexed="4"/>
      <name val="Arial CYR"/>
    </font>
    <font>
      <b/>
      <sz val="14"/>
      <color indexed="4"/>
      <name val="Arial Cyr"/>
    </font>
    <font>
      <sz val="12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4"/>
      <name val="Arial Cy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4"/>
      <name val="Arial Cyr"/>
    </font>
    <font>
      <sz val="9"/>
      <name val="Tahoma"/>
      <family val="2"/>
      <charset val="204"/>
    </font>
    <font>
      <b/>
      <sz val="11"/>
      <name val="Calibri"/>
      <family val="2"/>
      <charset val="204"/>
    </font>
    <font>
      <b/>
      <i/>
      <sz val="14"/>
      <color indexed="2"/>
      <name val="Arial Cyr"/>
    </font>
    <font>
      <b/>
      <sz val="11"/>
      <color indexed="65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1"/>
      <charset val="204"/>
    </font>
    <font>
      <sz val="10"/>
      <color indexed="65"/>
      <name val="Arial Cyr"/>
    </font>
    <font>
      <sz val="11"/>
      <color indexed="60"/>
      <name val="Calibri"/>
      <family val="2"/>
      <charset val="204"/>
    </font>
    <font>
      <sz val="12"/>
      <name val="Arial Cyr"/>
    </font>
    <font>
      <sz val="12"/>
      <name val="Calibri"/>
      <family val="2"/>
      <charset val="204"/>
    </font>
    <font>
      <sz val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4"/>
      <color indexed="48"/>
      <name val="Arial CYR"/>
    </font>
    <font>
      <sz val="11"/>
      <color indexed="20"/>
      <name val="Calibri"/>
      <family val="2"/>
      <charset val="204"/>
    </font>
    <font>
      <b/>
      <sz val="11"/>
      <name val="Arial Cyr"/>
    </font>
    <font>
      <i/>
      <sz val="11"/>
      <color indexed="23"/>
      <name val="Calibri"/>
      <family val="2"/>
      <charset val="204"/>
    </font>
    <font>
      <sz val="12"/>
      <name val="TimesET"/>
    </font>
    <font>
      <b/>
      <i/>
      <sz val="14"/>
      <color indexed="57"/>
      <name val="Arial Cyr"/>
    </font>
    <font>
      <sz val="11"/>
      <color indexed="52"/>
      <name val="Calibri"/>
      <family val="2"/>
      <charset val="204"/>
    </font>
    <font>
      <sz val="11"/>
      <name val="Times New Roman Cyr"/>
    </font>
    <font>
      <sz val="14"/>
      <name val="Arial Cyr"/>
    </font>
    <font>
      <sz val="12"/>
      <color indexed="22"/>
      <name val="Arial"/>
      <family val="2"/>
      <charset val="204"/>
    </font>
    <font>
      <sz val="11"/>
      <color indexed="2"/>
      <name val="Calibri"/>
      <family val="2"/>
      <charset val="204"/>
    </font>
    <font>
      <sz val="8"/>
      <name val="Arial Cyr"/>
    </font>
    <font>
      <sz val="9"/>
      <name val="Arial Cyr"/>
    </font>
    <font>
      <sz val="11"/>
      <color indexed="17"/>
      <name val="Calibri"/>
      <family val="2"/>
      <charset val="204"/>
    </font>
    <font>
      <u/>
      <sz val="10"/>
      <color indexed="4"/>
      <name val="Arial Cyr"/>
    </font>
    <font>
      <sz val="8"/>
      <name val="Times"/>
      <family val="1"/>
    </font>
    <font>
      <sz val="10"/>
      <name val="Courier New"/>
      <family val="3"/>
      <charset val="204"/>
    </font>
    <font>
      <sz val="8"/>
      <color indexed="4"/>
      <name val="Helv"/>
    </font>
    <font>
      <sz val="9"/>
      <name val="Pragmatica"/>
    </font>
    <font>
      <sz val="11"/>
      <color indexed="6"/>
      <name val="Calibri"/>
      <family val="2"/>
      <charset val="204"/>
    </font>
    <font>
      <sz val="9"/>
      <color indexed="56"/>
      <name val="Frutiger 45 Light"/>
    </font>
    <font>
      <sz val="12"/>
      <name val="Tms Rmn"/>
    </font>
    <font>
      <sz val="9"/>
      <name val="Times New Roman"/>
      <family val="1"/>
      <charset val="204"/>
    </font>
    <font>
      <sz val="10"/>
      <color indexed="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2"/>
      <name val="Arial Narrow"/>
      <family val="2"/>
      <charset val="204"/>
    </font>
    <font>
      <b/>
      <sz val="9"/>
      <color indexed="21"/>
      <name val="Arial CYR"/>
    </font>
    <font>
      <b/>
      <u val="singleAccounting"/>
      <sz val="8"/>
      <name val="Arial"/>
      <family val="2"/>
      <charset val="204"/>
    </font>
    <font>
      <sz val="8"/>
      <name val="Palatino"/>
      <family val="1"/>
    </font>
    <font>
      <sz val="10"/>
      <color theme="1"/>
      <name val="Arial"/>
      <family val="2"/>
      <charset val="204"/>
    </font>
    <font>
      <sz val="10"/>
      <color indexed="22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i/>
      <sz val="10"/>
      <color indexed="17"/>
      <name val="Arial"/>
      <family val="2"/>
      <charset val="204"/>
    </font>
    <font>
      <sz val="10"/>
      <name val="Book Antiqua"/>
      <family val="1"/>
      <charset val="204"/>
    </font>
    <font>
      <sz val="9"/>
      <name val="Arial"/>
      <family val="2"/>
      <charset val="204"/>
    </font>
    <font>
      <sz val="10"/>
      <color indexed="24"/>
      <name val="Arial"/>
      <family val="2"/>
      <charset val="204"/>
    </font>
    <font>
      <b/>
      <i/>
      <strike/>
      <sz val="12"/>
      <color indexed="48"/>
      <name val="Arial"/>
      <family val="2"/>
      <charset val="204"/>
    </font>
    <font>
      <sz val="8"/>
      <color indexed="65"/>
      <name val="Arial"/>
      <family val="2"/>
      <charset val="204"/>
    </font>
    <font>
      <sz val="10"/>
      <name val="StoneSerif"/>
    </font>
    <font>
      <u val="doubleAccounting"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0"/>
      <color indexed="4"/>
      <name val="Times New Roman"/>
      <family val="1"/>
      <charset val="204"/>
    </font>
    <font>
      <sz val="10"/>
      <name val="Times New Roman CE"/>
    </font>
    <font>
      <i/>
      <strike/>
      <sz val="12"/>
      <color indexed="40"/>
      <name val="Arial"/>
      <family val="2"/>
      <charset val="204"/>
    </font>
    <font>
      <b/>
      <sz val="10"/>
      <name val="Times New Roman"/>
      <family val="1"/>
      <charset val="204"/>
    </font>
    <font>
      <i/>
      <sz val="10"/>
      <name val="Arial Narrow"/>
      <family val="2"/>
      <charset val="204"/>
    </font>
    <font>
      <sz val="9"/>
      <color indexed="4"/>
      <name val="Arial"/>
      <family val="2"/>
      <charset val="204"/>
    </font>
    <font>
      <b/>
      <sz val="10"/>
      <color indexed="25"/>
      <name val="Arial Narrow"/>
      <family val="2"/>
      <charset val="204"/>
    </font>
    <font>
      <b/>
      <sz val="8"/>
      <color indexed="4"/>
      <name val="Arial"/>
      <family val="2"/>
      <charset val="204"/>
    </font>
    <font>
      <b/>
      <sz val="10"/>
      <color indexed="18"/>
      <name val="Arial Narrow"/>
      <family val="2"/>
      <charset val="204"/>
    </font>
    <font>
      <i/>
      <sz val="10"/>
      <color indexed="25"/>
      <name val="Arial Narrow"/>
      <family val="2"/>
      <charset val="204"/>
    </font>
    <font>
      <sz val="14"/>
      <name val="Arial"/>
      <family val="2"/>
      <charset val="204"/>
    </font>
    <font>
      <b/>
      <sz val="12"/>
      <color indexed="55"/>
      <name val="Arial"/>
      <family val="2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9.5"/>
      <name val="Times New Roman"/>
      <family val="1"/>
      <charset val="204"/>
    </font>
    <font>
      <sz val="10"/>
      <color indexed="25"/>
      <name val="Arial Narrow"/>
      <family val="2"/>
      <charset val="204"/>
    </font>
    <font>
      <sz val="10"/>
      <color indexed="18"/>
      <name val="Arial Narrow"/>
      <family val="2"/>
      <charset val="204"/>
    </font>
    <font>
      <b/>
      <sz val="16"/>
      <name val="Arial"/>
      <family val="2"/>
      <charset val="204"/>
    </font>
    <font>
      <b/>
      <sz val="14"/>
      <color indexed="25"/>
      <name val="Arial"/>
      <family val="2"/>
      <charset val="204"/>
    </font>
    <font>
      <b/>
      <sz val="14"/>
      <color indexed="18"/>
      <name val="Arial"/>
      <family val="2"/>
      <charset val="204"/>
    </font>
    <font>
      <sz val="8"/>
      <color indexed="25"/>
      <name val="Arial Narrow"/>
      <family val="2"/>
      <charset val="204"/>
    </font>
    <font>
      <b/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sz val="18"/>
      <name val="Courier"/>
    </font>
    <font>
      <sz val="8"/>
      <name val="Courier"/>
    </font>
    <font>
      <i/>
      <sz val="12"/>
      <name val="Courier"/>
    </font>
    <font>
      <sz val="10"/>
      <name val="Baltica"/>
    </font>
    <font>
      <b/>
      <u/>
      <sz val="7"/>
      <name val="Helv"/>
    </font>
    <font>
      <sz val="7"/>
      <name val="Palatino"/>
      <family val="1"/>
    </font>
    <font>
      <b/>
      <sz val="10"/>
      <name val="Baltica"/>
    </font>
    <font>
      <b/>
      <sz val="11"/>
      <name val="Arial Narrow"/>
      <family val="2"/>
      <charset val="204"/>
    </font>
    <font>
      <sz val="9"/>
      <name val="Futura UBS Bk"/>
    </font>
    <font>
      <sz val="6"/>
      <color indexed="16"/>
      <name val="Palatino"/>
      <family val="1"/>
    </font>
    <font>
      <b/>
      <sz val="15"/>
      <color indexed="62"/>
      <name val="Calibri"/>
      <family val="2"/>
      <charset val="204"/>
    </font>
    <font>
      <b/>
      <sz val="18"/>
      <color indexed="24"/>
      <name val="Arial"/>
      <family val="2"/>
      <charset val="204"/>
    </font>
    <font>
      <b/>
      <sz val="15"/>
      <color indexed="56"/>
      <name val="Arial"/>
      <family val="2"/>
      <charset val="204"/>
    </font>
    <font>
      <b/>
      <sz val="13"/>
      <color indexed="62"/>
      <name val="Calibri"/>
      <family val="2"/>
      <charset val="204"/>
    </font>
    <font>
      <b/>
      <sz val="12"/>
      <color indexed="24"/>
      <name val="Arial"/>
      <family val="2"/>
      <charset val="204"/>
    </font>
    <font>
      <b/>
      <sz val="13"/>
      <color indexed="56"/>
      <name val="Arial"/>
      <family val="2"/>
      <charset val="204"/>
    </font>
    <font>
      <b/>
      <sz val="11"/>
      <color indexed="62"/>
      <name val="Calibri"/>
      <family val="2"/>
      <charset val="204"/>
    </font>
    <font>
      <i/>
      <sz val="14"/>
      <name val="Palatino"/>
      <family val="1"/>
    </font>
    <font>
      <b/>
      <sz val="11"/>
      <color indexed="56"/>
      <name val="Arial"/>
      <family val="2"/>
      <charset val="204"/>
    </font>
    <font>
      <b/>
      <sz val="10"/>
      <name val="MS Sans Serif"/>
    </font>
    <font>
      <sz val="8"/>
      <color indexed="5"/>
      <name val="Arial"/>
      <family val="2"/>
      <charset val="204"/>
    </font>
    <font>
      <i/>
      <sz val="12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65"/>
      <name val="Times New Roman"/>
      <family val="1"/>
      <charset val="204"/>
    </font>
    <font>
      <u/>
      <sz val="9"/>
      <color indexed="20"/>
      <name val="Arial"/>
      <family val="2"/>
      <charset val="204"/>
    </font>
    <font>
      <u/>
      <sz val="7"/>
      <color indexed="4"/>
      <name val="Arial"/>
      <family val="2"/>
      <charset val="204"/>
    </font>
    <font>
      <u/>
      <sz val="10"/>
      <color indexed="4"/>
      <name val="Arial"/>
      <family val="2"/>
      <charset val="204"/>
    </font>
    <font>
      <u/>
      <sz val="12"/>
      <color indexed="4"/>
      <name val="Times New Roman"/>
      <family val="1"/>
      <charset val="204"/>
    </font>
    <font>
      <b/>
      <i/>
      <sz val="11"/>
      <color indexed="4"/>
      <name val="Arial Cyr"/>
    </font>
    <font>
      <sz val="8"/>
      <color indexed="4"/>
      <name val="Palatino"/>
      <family val="1"/>
    </font>
    <font>
      <sz val="1"/>
      <color indexed="65"/>
      <name val="Symbol"/>
      <family val="1"/>
      <charset val="2"/>
    </font>
    <font>
      <u/>
      <sz val="10"/>
      <color indexed="20"/>
      <name val="Arial Cyr"/>
    </font>
    <font>
      <b/>
      <u/>
      <sz val="16"/>
      <name val="Arial"/>
      <family val="2"/>
      <charset val="204"/>
    </font>
    <font>
      <b/>
      <sz val="10"/>
      <color indexed="48"/>
      <name val="Times New Roman"/>
      <family val="1"/>
      <charset val="204"/>
    </font>
    <font>
      <i/>
      <sz val="8"/>
      <name val="Times New Roman"/>
      <family val="1"/>
      <charset val="204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Narrow"/>
      <family val="2"/>
      <charset val="204"/>
    </font>
    <font>
      <sz val="10"/>
      <color indexed="4"/>
      <name val="Arial Narrow"/>
      <family val="2"/>
      <charset val="204"/>
    </font>
    <font>
      <sz val="10"/>
      <color indexed="48"/>
      <name val="Tahoma"/>
      <family val="2"/>
      <charset val="204"/>
    </font>
    <font>
      <b/>
      <sz val="9"/>
      <color indexed="4"/>
      <name val="Arial Cyr"/>
    </font>
    <font>
      <sz val="12"/>
      <name val="Gill Sans"/>
    </font>
    <font>
      <b/>
      <sz val="18"/>
      <name val="Courier"/>
    </font>
    <font>
      <b/>
      <sz val="12"/>
      <name val="Courier"/>
    </font>
    <font>
      <b/>
      <u val="singleAccounting"/>
      <sz val="8"/>
      <name val="Verdana"/>
      <family val="2"/>
      <charset val="204"/>
    </font>
    <font>
      <b/>
      <sz val="10"/>
      <color indexed="65"/>
      <name val="Arial"/>
      <family val="2"/>
      <charset val="204"/>
    </font>
    <font>
      <b/>
      <sz val="12"/>
      <name val="Verdana"/>
      <family val="2"/>
      <charset val="204"/>
    </font>
    <font>
      <sz val="7"/>
      <name val="Small Fonts"/>
    </font>
    <font>
      <sz val="8"/>
      <name val="Helv PL"/>
    </font>
    <font>
      <sz val="10"/>
      <color theme="1"/>
      <name val="Times New Roman"/>
      <family val="1"/>
      <charset val="204"/>
    </font>
    <font>
      <sz val="10"/>
      <name val="Times Armenian"/>
    </font>
    <font>
      <sz val="10"/>
      <name val="Palatino"/>
      <family val="1"/>
    </font>
    <font>
      <sz val="8"/>
      <name val="Arial CE"/>
    </font>
    <font>
      <sz val="10"/>
      <name val="Verdana"/>
      <family val="2"/>
      <charset val="204"/>
    </font>
    <font>
      <b/>
      <i/>
      <sz val="10"/>
      <name val="Arial"/>
      <family val="2"/>
      <charset val="204"/>
    </font>
    <font>
      <i/>
      <strike/>
      <sz val="12"/>
      <color indexed="2"/>
      <name val="Arial"/>
      <family val="2"/>
      <charset val="204"/>
    </font>
    <font>
      <sz val="10"/>
      <color indexed="17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  <family val="2"/>
    </font>
    <font>
      <sz val="22"/>
      <name val="UBSHeadline"/>
    </font>
    <font>
      <sz val="12"/>
      <name val="Helv"/>
    </font>
    <font>
      <b/>
      <u/>
      <sz val="6"/>
      <name val="Helv"/>
    </font>
    <font>
      <strike/>
      <sz val="12"/>
      <color indexed="46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2"/>
      <color indexed="17"/>
      <name val="Arial"/>
      <family val="2"/>
      <charset val="204"/>
    </font>
    <font>
      <sz val="9.5"/>
      <color indexed="23"/>
      <name val="Helvetica-Black"/>
      <family val="2"/>
    </font>
    <font>
      <b/>
      <sz val="16"/>
      <color indexed="23"/>
      <name val="Arial"/>
      <family val="2"/>
      <charset val="204"/>
    </font>
    <font>
      <sz val="10"/>
      <color indexed="2"/>
      <name val="Arial"/>
      <family val="2"/>
      <charset val="204"/>
    </font>
    <font>
      <b/>
      <sz val="10"/>
      <color indexed="20"/>
      <name val="Arial Narrow"/>
      <family val="2"/>
      <charset val="204"/>
    </font>
    <font>
      <b/>
      <sz val="8"/>
      <color indexed="65"/>
      <name val="Verdana"/>
      <family val="2"/>
      <charset val="204"/>
    </font>
    <font>
      <b/>
      <sz val="18"/>
      <color indexed="62"/>
      <name val="Cambria"/>
      <family val="1"/>
      <charset val="204"/>
    </font>
    <font>
      <u val="singleAccounting"/>
      <sz val="10"/>
      <name val="Times New Roman"/>
      <family val="1"/>
      <charset val="204"/>
    </font>
    <font>
      <vertAlign val="subscript"/>
      <sz val="8"/>
      <name val="Arial"/>
      <family val="2"/>
      <charset val="204"/>
    </font>
    <font>
      <vertAlign val="superscript"/>
      <sz val="8"/>
      <name val="Arial"/>
      <family val="2"/>
      <charset val="204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10"/>
      <name val="Palatino"/>
      <family val="1"/>
    </font>
    <font>
      <b/>
      <sz val="8"/>
      <name val="Arial"/>
      <family val="2"/>
      <charset val="204"/>
    </font>
    <font>
      <sz val="9"/>
      <name val="Helvetica-Black"/>
      <family val="2"/>
    </font>
    <font>
      <sz val="8.5"/>
      <name val="MS Sans Serif"/>
    </font>
    <font>
      <sz val="12"/>
      <name val="Palatino"/>
      <family val="1"/>
    </font>
    <font>
      <sz val="11"/>
      <name val="Helvetica-Black"/>
      <family val="2"/>
    </font>
    <font>
      <i/>
      <sz val="8"/>
      <name val="Arial"/>
      <family val="2"/>
      <charset val="204"/>
    </font>
    <font>
      <b/>
      <sz val="10"/>
      <color indexed="2"/>
      <name val="Arial"/>
      <family val="2"/>
      <charset val="204"/>
    </font>
    <font>
      <b/>
      <sz val="18"/>
      <color indexed="5"/>
      <name val="Arial"/>
      <family val="2"/>
      <charset val="204"/>
    </font>
    <font>
      <b/>
      <sz val="13"/>
      <name val="Verdana"/>
      <family val="2"/>
      <charset val="204"/>
    </font>
    <font>
      <b/>
      <sz val="8"/>
      <name val="Palatino"/>
      <family val="1"/>
    </font>
    <font>
      <sz val="10"/>
      <color indexed="21"/>
      <name val="Arial"/>
      <family val="2"/>
      <charset val="204"/>
    </font>
    <font>
      <u/>
      <sz val="8"/>
      <name val="Arial"/>
      <family val="2"/>
      <charset val="204"/>
    </font>
    <font>
      <i/>
      <strike/>
      <sz val="12"/>
      <color indexed="48"/>
      <name val="Arial"/>
      <family val="2"/>
      <charset val="204"/>
    </font>
    <font>
      <b/>
      <sz val="9"/>
      <name val="Arial Cyr"/>
    </font>
    <font>
      <b/>
      <u/>
      <sz val="10"/>
      <name val="MS Sans Serif"/>
    </font>
    <font>
      <sz val="11"/>
      <name val="ＭＳ Ｐゴシック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indexed="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0" tint="-0.34998626667073579"/>
      <name val="Calibri"/>
      <family val="2"/>
      <charset val="204"/>
      <scheme val="minor"/>
    </font>
    <font>
      <b/>
      <sz val="12"/>
      <color theme="0" tint="-0.3499862666707357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color indexed="2"/>
      <name val="Calibri"/>
      <family val="2"/>
      <charset val="204"/>
      <scheme val="minor"/>
    </font>
    <font>
      <sz val="12"/>
      <color indexed="2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0" tint="-0.499984740745262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2"/>
      <color theme="0" tint="-0.14999847407452621"/>
      <name val="Arial"/>
      <family val="2"/>
      <charset val="204"/>
    </font>
    <font>
      <i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0" tint="-0.14999847407452621"/>
      <name val="Calibri"/>
      <family val="2"/>
      <charset val="204"/>
    </font>
    <font>
      <sz val="12"/>
      <color theme="0" tint="-0.1499984740745262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indexed="2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2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Liberation Serif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21212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Liberation Serif"/>
      <family val="1"/>
      <charset val="204"/>
    </font>
  </fonts>
  <fills count="87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lightGray">
        <fgColor indexed="22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65"/>
      </patternFill>
    </fill>
    <fill>
      <patternFill patternType="solid">
        <fgColor indexed="26"/>
        <bgColor indexed="26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2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0"/>
        <bgColor indexed="40"/>
      </patternFill>
    </fill>
    <fill>
      <patternFill patternType="solid">
        <fgColor indexed="7"/>
        <bgColor indexed="7"/>
      </patternFill>
    </fill>
    <fill>
      <patternFill patternType="solid">
        <fgColor indexed="55"/>
        <bgColor indexed="55"/>
      </patternFill>
    </fill>
    <fill>
      <patternFill patternType="lightHorizontal">
        <fgColor indexed="65"/>
      </patternFill>
    </fill>
    <fill>
      <patternFill patternType="solid">
        <fgColor indexed="23"/>
        <bgColor indexed="24"/>
      </patternFill>
    </fill>
    <fill>
      <patternFill patternType="mediumGray">
        <fgColor indexed="5"/>
        <bgColor indexed="5"/>
      </patternFill>
    </fill>
    <fill>
      <patternFill patternType="solid">
        <fgColor indexed="19"/>
        <bgColor indexed="19"/>
      </patternFill>
    </fill>
    <fill>
      <patternFill patternType="solid">
        <fgColor indexed="54"/>
        <bgColor indexed="54"/>
      </patternFill>
    </fill>
    <fill>
      <patternFill patternType="solid">
        <fgColor indexed="60"/>
        <bgColor indexed="60"/>
      </patternFill>
    </fill>
    <fill>
      <patternFill patternType="solid">
        <fgColor indexed="6"/>
        <bgColor indexed="6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22"/>
      </patternFill>
    </fill>
    <fill>
      <patternFill patternType="lightGrid">
        <fgColor indexed="22"/>
        <bgColor indexed="22"/>
      </patternFill>
    </fill>
    <fill>
      <patternFill patternType="solid">
        <fgColor indexed="18"/>
        <bgColor indexed="18"/>
      </patternFill>
    </fill>
    <fill>
      <patternFill patternType="lightGray"/>
    </fill>
    <fill>
      <patternFill patternType="gray0625"/>
    </fill>
    <fill>
      <patternFill patternType="solid">
        <fgColor indexed="63"/>
        <bgColor indexed="63"/>
      </patternFill>
    </fill>
    <fill>
      <patternFill patternType="solid">
        <fgColor indexed="50"/>
        <bgColor indexed="50"/>
      </patternFill>
    </fill>
    <fill>
      <patternFill patternType="lightUp">
        <fgColor indexed="22"/>
        <bgColor indexed="7"/>
      </patternFill>
    </fill>
    <fill>
      <patternFill patternType="mediumGray">
        <fgColor indexed="51"/>
        <bgColor indexed="51"/>
      </patternFill>
    </fill>
    <fill>
      <patternFill patternType="solid">
        <fgColor indexed="23"/>
        <bgColor indexed="23"/>
      </patternFill>
    </fill>
    <fill>
      <patternFill patternType="lightGray">
        <fgColor indexed="26"/>
        <bgColor indexed="26"/>
      </patternFill>
    </fill>
    <fill>
      <patternFill patternType="solid">
        <fgColor indexed="56"/>
        <bgColor indexed="56"/>
      </patternFill>
    </fill>
    <fill>
      <patternFill patternType="solid">
        <fgColor indexed="16"/>
        <bgColor indexed="16"/>
      </patternFill>
    </fill>
    <fill>
      <patternFill patternType="solid"/>
    </fill>
    <fill>
      <patternFill patternType="solid">
        <fgColor indexed="21"/>
        <bgColor indexed="21"/>
      </patternFill>
    </fill>
    <fill>
      <patternFill patternType="solid">
        <fgColor indexed="21"/>
        <bgColor indexed="17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0" tint="-0.249977111117893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3" tint="0.79998168889431442"/>
        <bgColor theme="0" tint="-0.149998474074526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6" tint="0.59999389629810485"/>
        <bgColor theme="0" tint="-0.14999847407452621"/>
      </patternFill>
    </fill>
    <fill>
      <patternFill patternType="solid">
        <fgColor theme="9" tint="0.79998168889431442"/>
        <bgColor theme="0" tint="-0.14999847407452621"/>
      </patternFill>
    </fill>
    <fill>
      <patternFill patternType="solid">
        <fgColor theme="2"/>
        <bgColor theme="2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theme="6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theme="9" tint="0.79998168889431442"/>
      </patternFill>
    </fill>
    <fill>
      <patternFill patternType="solid">
        <fgColor rgb="FF92D050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6" tint="0.79998168889431442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indexed="65"/>
      </bottom>
      <diagonal/>
    </border>
    <border>
      <left/>
      <right/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23"/>
      </left>
      <right/>
      <top style="thin">
        <color indexed="23"/>
      </top>
      <bottom style="thin">
        <color indexed="65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76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6" fontId="5" fillId="0" borderId="0" applyFont="0" applyFill="0" applyBorder="0" applyProtection="0"/>
    <xf numFmtId="166" fontId="5" fillId="0" borderId="0" applyFont="0" applyFill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3" fillId="0" borderId="0" applyFont="0" applyFill="0" applyBorder="0" applyProtection="0"/>
    <xf numFmtId="167" fontId="3" fillId="0" borderId="0" applyFont="0" applyFill="0" applyBorder="0" applyProtection="0"/>
    <xf numFmtId="167" fontId="3" fillId="0" borderId="0" applyFont="0" applyFill="0" applyBorder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top"/>
    </xf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9" fillId="0" borderId="0" applyNumberFormat="0" applyFill="0" applyBorder="0" applyProtection="0"/>
    <xf numFmtId="0" fontId="3" fillId="0" borderId="0"/>
    <xf numFmtId="0" fontId="10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168" fontId="3" fillId="2" borderId="1">
      <alignment wrapText="1"/>
      <protection locked="0"/>
    </xf>
    <xf numFmtId="0" fontId="3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0" fillId="0" borderId="0">
      <alignment horizontal="left"/>
    </xf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2" applyNumberFormat="0" applyFill="0" applyProtection="0">
      <alignment horizontal="center"/>
    </xf>
    <xf numFmtId="0" fontId="11" fillId="0" borderId="2" applyNumberFormat="0" applyFill="0" applyProtection="0">
      <alignment horizontal="center"/>
    </xf>
    <xf numFmtId="0" fontId="11" fillId="0" borderId="0" applyNumberFormat="0" applyFill="0" applyBorder="0" applyProtection="0">
      <alignment horizontal="left"/>
    </xf>
    <xf numFmtId="0" fontId="12" fillId="0" borderId="0" applyNumberFormat="0" applyFill="0" applyBorder="0" applyProtection="0">
      <alignment horizontal="centerContinuous"/>
    </xf>
    <xf numFmtId="0" fontId="3" fillId="0" borderId="0"/>
    <xf numFmtId="0" fontId="3" fillId="0" borderId="0">
      <alignment vertical="top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40" fontId="13" fillId="0" borderId="0" applyFont="0" applyFill="0" applyBorder="0" applyProtection="0"/>
    <xf numFmtId="0" fontId="14" fillId="0" borderId="0"/>
    <xf numFmtId="169" fontId="8" fillId="0" borderId="0" applyFont="0" applyFill="0" applyBorder="0" applyProtection="0"/>
    <xf numFmtId="169" fontId="8" fillId="0" borderId="0" applyFont="0" applyFill="0" applyBorder="0" applyProtection="0"/>
    <xf numFmtId="169" fontId="8" fillId="0" borderId="0" applyFont="0" applyFill="0" applyBorder="0" applyProtection="0"/>
    <xf numFmtId="0" fontId="15" fillId="0" borderId="3">
      <protection locked="0"/>
    </xf>
    <xf numFmtId="170" fontId="15" fillId="0" borderId="0">
      <protection locked="0"/>
    </xf>
    <xf numFmtId="170" fontId="15" fillId="0" borderId="0">
      <protection locked="0"/>
    </xf>
    <xf numFmtId="170" fontId="15" fillId="0" borderId="0">
      <protection locked="0"/>
    </xf>
    <xf numFmtId="0" fontId="3" fillId="0" borderId="0"/>
    <xf numFmtId="0" fontId="3" fillId="0" borderId="0"/>
    <xf numFmtId="0" fontId="16" fillId="0" borderId="0">
      <protection locked="0"/>
    </xf>
    <xf numFmtId="0" fontId="16" fillId="0" borderId="0">
      <protection locked="0"/>
    </xf>
    <xf numFmtId="171" fontId="17" fillId="0" borderId="4">
      <alignment horizontal="left" vertical="center"/>
    </xf>
    <xf numFmtId="171" fontId="17" fillId="0" borderId="4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172" fontId="18" fillId="0" borderId="0"/>
    <xf numFmtId="0" fontId="3" fillId="0" borderId="0"/>
    <xf numFmtId="0" fontId="6" fillId="0" borderId="0">
      <alignment vertical="center"/>
    </xf>
    <xf numFmtId="0" fontId="19" fillId="0" borderId="0">
      <protection locked="0"/>
    </xf>
    <xf numFmtId="0" fontId="20" fillId="0" borderId="0"/>
    <xf numFmtId="173" fontId="21" fillId="0" borderId="0">
      <alignment horizontal="center"/>
    </xf>
    <xf numFmtId="174" fontId="8" fillId="0" borderId="0">
      <alignment horizontal="center"/>
    </xf>
    <xf numFmtId="173" fontId="21" fillId="0" borderId="0">
      <alignment horizontal="center"/>
    </xf>
    <xf numFmtId="37" fontId="21" fillId="0" borderId="5"/>
    <xf numFmtId="37" fontId="21" fillId="0" borderId="5"/>
    <xf numFmtId="3" fontId="22" fillId="0" borderId="6">
      <alignment wrapText="1"/>
    </xf>
    <xf numFmtId="0" fontId="5" fillId="3" borderId="0"/>
    <xf numFmtId="0" fontId="23" fillId="4" borderId="0" applyNumberFormat="0" applyBorder="0" applyProtection="0"/>
    <xf numFmtId="0" fontId="23" fillId="5" borderId="0" applyNumberFormat="0" applyBorder="0" applyProtection="0"/>
    <xf numFmtId="0" fontId="23" fillId="6" borderId="0" applyNumberFormat="0" applyBorder="0" applyProtection="0"/>
    <xf numFmtId="0" fontId="23" fillId="7" borderId="0" applyNumberFormat="0" applyBorder="0" applyProtection="0"/>
    <xf numFmtId="0" fontId="23" fillId="8" borderId="0" applyNumberFormat="0" applyBorder="0" applyProtection="0"/>
    <xf numFmtId="0" fontId="23" fillId="9" borderId="0" applyNumberFormat="0" applyBorder="0" applyProtection="0"/>
    <xf numFmtId="0" fontId="23" fillId="4" borderId="0" applyNumberFormat="0" applyBorder="0" applyProtection="0"/>
    <xf numFmtId="0" fontId="23" fillId="10" borderId="0" applyNumberFormat="0" applyBorder="0" applyProtection="0"/>
    <xf numFmtId="0" fontId="23" fillId="4" borderId="0" applyNumberFormat="0" applyBorder="0" applyProtection="0"/>
    <xf numFmtId="0" fontId="23" fillId="5" borderId="0" applyNumberFormat="0" applyBorder="0" applyProtection="0"/>
    <xf numFmtId="0" fontId="23" fillId="9" borderId="0" applyNumberFormat="0" applyBorder="0" applyProtection="0"/>
    <xf numFmtId="0" fontId="23" fillId="5" borderId="0" applyNumberFormat="0" applyBorder="0" applyProtection="0"/>
    <xf numFmtId="0" fontId="23" fillId="6" borderId="0" applyNumberFormat="0" applyBorder="0" applyProtection="0"/>
    <xf numFmtId="0" fontId="23" fillId="11" borderId="0" applyNumberFormat="0" applyBorder="0" applyProtection="0"/>
    <xf numFmtId="0" fontId="23" fillId="6" borderId="0" applyNumberFormat="0" applyBorder="0" applyProtection="0"/>
    <xf numFmtId="0" fontId="23" fillId="7" borderId="0" applyNumberFormat="0" applyBorder="0" applyProtection="0"/>
    <xf numFmtId="0" fontId="23" fillId="10" borderId="0" applyNumberFormat="0" applyBorder="0" applyProtection="0"/>
    <xf numFmtId="0" fontId="23" fillId="7" borderId="0" applyNumberFormat="0" applyBorder="0" applyProtection="0"/>
    <xf numFmtId="0" fontId="23" fillId="8" borderId="0" applyNumberFormat="0" applyBorder="0" applyProtection="0"/>
    <xf numFmtId="0" fontId="23" fillId="8" borderId="0" applyNumberFormat="0" applyBorder="0" applyProtection="0"/>
    <xf numFmtId="0" fontId="23" fillId="8" borderId="0" applyNumberFormat="0" applyBorder="0" applyProtection="0"/>
    <xf numFmtId="0" fontId="23" fillId="9" borderId="0" applyNumberFormat="0" applyBorder="0" applyProtection="0"/>
    <xf numFmtId="0" fontId="23" fillId="9" borderId="0" applyNumberFormat="0" applyBorder="0" applyProtection="0"/>
    <xf numFmtId="0" fontId="23" fillId="9" borderId="0" applyNumberFormat="0" applyBorder="0" applyProtection="0"/>
    <xf numFmtId="171" fontId="17" fillId="0" borderId="4">
      <alignment horizontal="left" vertical="center"/>
    </xf>
    <xf numFmtId="171" fontId="17" fillId="0" borderId="4">
      <alignment horizontal="left" vertical="center"/>
    </xf>
    <xf numFmtId="0" fontId="23" fillId="12" borderId="0" applyNumberFormat="0" applyBorder="0" applyProtection="0"/>
    <xf numFmtId="0" fontId="23" fillId="13" borderId="0" applyNumberFormat="0" applyBorder="0" applyProtection="0"/>
    <xf numFmtId="0" fontId="23" fillId="14" borderId="0" applyNumberFormat="0" applyBorder="0" applyProtection="0"/>
    <xf numFmtId="0" fontId="23" fillId="7" borderId="0" applyNumberFormat="0" applyBorder="0" applyProtection="0"/>
    <xf numFmtId="0" fontId="23" fillId="12" borderId="0" applyNumberFormat="0" applyBorder="0" applyProtection="0"/>
    <xf numFmtId="0" fontId="23" fillId="15" borderId="0" applyNumberFormat="0" applyBorder="0" applyProtection="0"/>
    <xf numFmtId="0" fontId="23" fillId="12" borderId="0" applyNumberFormat="0" applyBorder="0" applyProtection="0"/>
    <xf numFmtId="0" fontId="23" fillId="16" borderId="0" applyNumberFormat="0" applyBorder="0" applyProtection="0"/>
    <xf numFmtId="0" fontId="23" fillId="12" borderId="0" applyNumberFormat="0" applyBorder="0" applyProtection="0"/>
    <xf numFmtId="0" fontId="23" fillId="13" borderId="0" applyNumberFormat="0" applyBorder="0" applyProtection="0"/>
    <xf numFmtId="0" fontId="23" fillId="13" borderId="0" applyNumberFormat="0" applyBorder="0" applyProtection="0"/>
    <xf numFmtId="0" fontId="23" fillId="13" borderId="0" applyNumberFormat="0" applyBorder="0" applyProtection="0"/>
    <xf numFmtId="0" fontId="23" fillId="14" borderId="0" applyNumberFormat="0" applyBorder="0" applyProtection="0"/>
    <xf numFmtId="0" fontId="23" fillId="2" borderId="0" applyNumberFormat="0" applyBorder="0" applyProtection="0"/>
    <xf numFmtId="0" fontId="23" fillId="14" borderId="0" applyNumberFormat="0" applyBorder="0" applyProtection="0"/>
    <xf numFmtId="0" fontId="23" fillId="7" borderId="0" applyNumberFormat="0" applyBorder="0" applyProtection="0"/>
    <xf numFmtId="0" fontId="23" fillId="16" borderId="0" applyNumberFormat="0" applyBorder="0" applyProtection="0"/>
    <xf numFmtId="0" fontId="23" fillId="7" borderId="0" applyNumberFormat="0" applyBorder="0" applyProtection="0"/>
    <xf numFmtId="0" fontId="23" fillId="12" borderId="0" applyNumberFormat="0" applyBorder="0" applyProtection="0"/>
    <xf numFmtId="0" fontId="23" fillId="12" borderId="0" applyNumberFormat="0" applyBorder="0" applyProtection="0"/>
    <xf numFmtId="0" fontId="23" fillId="12" borderId="0" applyNumberFormat="0" applyBorder="0" applyProtection="0"/>
    <xf numFmtId="0" fontId="23" fillId="15" borderId="0" applyNumberFormat="0" applyBorder="0" applyProtection="0"/>
    <xf numFmtId="0" fontId="23" fillId="9" borderId="0" applyNumberFormat="0" applyBorder="0" applyProtection="0"/>
    <xf numFmtId="0" fontId="23" fillId="15" borderId="0" applyNumberFormat="0" applyBorder="0" applyProtection="0"/>
    <xf numFmtId="4" fontId="24" fillId="0" borderId="5">
      <alignment horizontal="right" vertical="top"/>
    </xf>
    <xf numFmtId="4" fontId="24" fillId="0" borderId="5">
      <alignment horizontal="right" vertical="top"/>
    </xf>
    <xf numFmtId="0" fontId="25" fillId="17" borderId="0" applyNumberFormat="0" applyBorder="0" applyProtection="0"/>
    <xf numFmtId="0" fontId="25" fillId="13" borderId="0" applyNumberFormat="0" applyBorder="0" applyProtection="0"/>
    <xf numFmtId="0" fontId="25" fillId="14" borderId="0" applyNumberFormat="0" applyBorder="0" applyProtection="0"/>
    <xf numFmtId="0" fontId="25" fillId="18" borderId="0" applyNumberFormat="0" applyBorder="0" applyProtection="0"/>
    <xf numFmtId="0" fontId="25" fillId="19" borderId="0" applyNumberFormat="0" applyBorder="0" applyProtection="0"/>
    <xf numFmtId="0" fontId="25" fillId="20" borderId="0" applyNumberFormat="0" applyBorder="0" applyProtection="0"/>
    <xf numFmtId="0" fontId="25" fillId="17" borderId="0" applyNumberFormat="0" applyBorder="0" applyProtection="0"/>
    <xf numFmtId="0" fontId="25" fillId="19" borderId="0" applyNumberFormat="0" applyBorder="0" applyProtection="0"/>
    <xf numFmtId="0" fontId="25" fillId="17" borderId="0" applyNumberFormat="0" applyBorder="0" applyProtection="0"/>
    <xf numFmtId="0" fontId="25" fillId="13" borderId="0" applyNumberFormat="0" applyBorder="0" applyProtection="0"/>
    <xf numFmtId="0" fontId="25" fillId="13" borderId="0" applyNumberFormat="0" applyBorder="0" applyProtection="0"/>
    <xf numFmtId="0" fontId="25" fillId="13" borderId="0" applyNumberFormat="0" applyBorder="0" applyProtection="0"/>
    <xf numFmtId="0" fontId="25" fillId="14" borderId="0" applyNumberFormat="0" applyBorder="0" applyProtection="0"/>
    <xf numFmtId="0" fontId="25" fillId="2" borderId="0" applyNumberFormat="0" applyBorder="0" applyProtection="0"/>
    <xf numFmtId="0" fontId="25" fillId="14" borderId="0" applyNumberFormat="0" applyBorder="0" applyProtection="0"/>
    <xf numFmtId="0" fontId="25" fillId="18" borderId="0" applyNumberFormat="0" applyBorder="0" applyProtection="0"/>
    <xf numFmtId="0" fontId="25" fillId="16" borderId="0" applyNumberFormat="0" applyBorder="0" applyProtection="0"/>
    <xf numFmtId="0" fontId="25" fillId="18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20" borderId="0" applyNumberFormat="0" applyBorder="0" applyProtection="0"/>
    <xf numFmtId="0" fontId="25" fillId="9" borderId="0" applyNumberFormat="0" applyBorder="0" applyProtection="0"/>
    <xf numFmtId="0" fontId="25" fillId="20" borderId="0" applyNumberFormat="0" applyBorder="0" applyProtection="0"/>
    <xf numFmtId="175" fontId="26" fillId="0" borderId="0" applyFont="0" applyFill="0" applyBorder="0">
      <alignment horizontal="center"/>
    </xf>
    <xf numFmtId="4" fontId="24" fillId="0" borderId="5">
      <alignment horizontal="right" vertical="top"/>
    </xf>
    <xf numFmtId="4" fontId="24" fillId="0" borderId="5">
      <alignment horizontal="right" vertical="top"/>
    </xf>
    <xf numFmtId="0" fontId="27" fillId="0" borderId="0">
      <alignment horizontal="right"/>
    </xf>
    <xf numFmtId="0" fontId="25" fillId="21" borderId="0" applyNumberFormat="0" applyBorder="0" applyProtection="0"/>
    <xf numFmtId="0" fontId="25" fillId="22" borderId="0" applyNumberFormat="0" applyBorder="0" applyProtection="0"/>
    <xf numFmtId="0" fontId="25" fillId="23" borderId="0" applyNumberFormat="0" applyBorder="0" applyProtection="0"/>
    <xf numFmtId="0" fontId="25" fillId="23" borderId="0" applyNumberFormat="0" applyBorder="0" applyProtection="0"/>
    <xf numFmtId="0" fontId="25" fillId="18" borderId="0" applyNumberFormat="0" applyBorder="0" applyProtection="0"/>
    <xf numFmtId="0" fontId="25" fillId="19" borderId="0" applyNumberFormat="0" applyBorder="0" applyProtection="0"/>
    <xf numFmtId="0" fontId="25" fillId="24" borderId="0" applyNumberFormat="0" applyBorder="0" applyProtection="0"/>
    <xf numFmtId="0" fontId="28" fillId="0" borderId="0"/>
    <xf numFmtId="176" fontId="8" fillId="0" borderId="7">
      <protection locked="0"/>
    </xf>
    <xf numFmtId="177" fontId="18" fillId="0" borderId="8">
      <alignment horizontal="center"/>
    </xf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3" fontId="30" fillId="0" borderId="0">
      <alignment horizontal="center" vertical="center" textRotation="90" wrapText="1"/>
    </xf>
    <xf numFmtId="0" fontId="31" fillId="0" borderId="0"/>
    <xf numFmtId="178" fontId="8" fillId="0" borderId="5">
      <alignment vertical="top" wrapText="1"/>
    </xf>
    <xf numFmtId="0" fontId="32" fillId="0" borderId="0"/>
    <xf numFmtId="0" fontId="33" fillId="16" borderId="10" applyNumberFormat="0" applyProtection="0"/>
    <xf numFmtId="0" fontId="33" fillId="16" borderId="10" applyNumberFormat="0" applyProtection="0"/>
    <xf numFmtId="0" fontId="34" fillId="16" borderId="9" applyNumberFormat="0" applyProtection="0"/>
    <xf numFmtId="0" fontId="34" fillId="16" borderId="9" applyNumberFormat="0" applyProtection="0"/>
    <xf numFmtId="0" fontId="35" fillId="0" borderId="0" applyNumberFormat="0" applyFill="0" applyBorder="0" applyProtection="0"/>
    <xf numFmtId="179" fontId="36" fillId="0" borderId="5">
      <alignment vertical="top" wrapText="1"/>
    </xf>
    <xf numFmtId="4" fontId="37" fillId="0" borderId="5">
      <alignment horizontal="left" vertical="center"/>
    </xf>
    <xf numFmtId="4" fontId="37" fillId="0" borderId="5">
      <alignment horizontal="left" vertical="center"/>
    </xf>
    <xf numFmtId="4" fontId="37" fillId="0" borderId="5"/>
    <xf numFmtId="4" fontId="37" fillId="0" borderId="5"/>
    <xf numFmtId="4" fontId="37" fillId="25" borderId="5"/>
    <xf numFmtId="4" fontId="37" fillId="25" borderId="5"/>
    <xf numFmtId="4" fontId="37" fillId="26" borderId="5"/>
    <xf numFmtId="4" fontId="37" fillId="26" borderId="5"/>
    <xf numFmtId="4" fontId="38" fillId="8" borderId="5"/>
    <xf numFmtId="4" fontId="38" fillId="8" borderId="5"/>
    <xf numFmtId="4" fontId="39" fillId="16" borderId="5"/>
    <xf numFmtId="4" fontId="39" fillId="16" borderId="5"/>
    <xf numFmtId="4" fontId="40" fillId="0" borderId="5">
      <alignment horizontal="center" wrapText="1"/>
    </xf>
    <xf numFmtId="4" fontId="40" fillId="0" borderId="5">
      <alignment horizontal="center" wrapText="1"/>
    </xf>
    <xf numFmtId="179" fontId="37" fillId="0" borderId="5"/>
    <xf numFmtId="179" fontId="37" fillId="0" borderId="5"/>
    <xf numFmtId="179" fontId="36" fillId="0" borderId="5">
      <alignment horizontal="center" vertical="center" wrapText="1"/>
    </xf>
    <xf numFmtId="179" fontId="36" fillId="0" borderId="5">
      <alignment horizontal="center" vertical="center" wrapText="1"/>
    </xf>
    <xf numFmtId="179" fontId="36" fillId="0" borderId="5">
      <alignment vertical="top" wrapText="1"/>
    </xf>
    <xf numFmtId="4" fontId="41" fillId="0" borderId="5">
      <alignment horizontal="left" vertical="center" wrapText="1"/>
    </xf>
    <xf numFmtId="179" fontId="42" fillId="0" borderId="5"/>
    <xf numFmtId="179" fontId="42" fillId="0" borderId="5"/>
    <xf numFmtId="179" fontId="43" fillId="0" borderId="5"/>
    <xf numFmtId="179" fontId="43" fillId="0" borderId="5"/>
    <xf numFmtId="4" fontId="36" fillId="0" borderId="5"/>
    <xf numFmtId="4" fontId="36" fillId="0" borderId="5"/>
    <xf numFmtId="14" fontId="44" fillId="0" borderId="11" applyBorder="0">
      <alignment horizontal="center" vertical="center"/>
    </xf>
    <xf numFmtId="14" fontId="8" fillId="0" borderId="0">
      <alignment vertical="center"/>
    </xf>
    <xf numFmtId="14" fontId="44" fillId="0" borderId="11" applyBorder="0">
      <alignment horizontal="center" vertical="center"/>
    </xf>
    <xf numFmtId="170" fontId="23" fillId="0" borderId="0" applyFont="0" applyFill="0" applyBorder="0" applyProtection="0"/>
    <xf numFmtId="170" fontId="267" fillId="0" borderId="0" applyFont="0" applyFill="0" applyBorder="0" applyProtection="0"/>
    <xf numFmtId="170" fontId="267" fillId="0" borderId="0" applyFont="0" applyFill="0" applyBorder="0" applyProtection="0"/>
    <xf numFmtId="170" fontId="267" fillId="0" borderId="0" applyFont="0" applyFill="0" applyBorder="0" applyProtection="0"/>
    <xf numFmtId="170" fontId="267" fillId="0" borderId="0" applyFont="0" applyFill="0" applyBorder="0" applyProtection="0"/>
    <xf numFmtId="170" fontId="23" fillId="0" borderId="0" applyFont="0" applyFill="0" applyBorder="0" applyProtection="0"/>
    <xf numFmtId="44" fontId="45" fillId="0" borderId="0" applyFont="0" applyFill="0" applyBorder="0" applyProtection="0"/>
    <xf numFmtId="44" fontId="45" fillId="0" borderId="0" applyFont="0" applyFill="0" applyBorder="0" applyProtection="0"/>
    <xf numFmtId="44" fontId="45" fillId="0" borderId="0" applyFont="0" applyFill="0" applyBorder="0" applyProtection="0"/>
    <xf numFmtId="44" fontId="45" fillId="0" borderId="0" applyFont="0" applyFill="0" applyBorder="0" applyProtection="0"/>
    <xf numFmtId="44" fontId="267" fillId="0" borderId="0" applyFont="0" applyFill="0" applyBorder="0" applyProtection="0"/>
    <xf numFmtId="44" fontId="267" fillId="0" borderId="0" applyFont="0" applyFill="0" applyBorder="0" applyProtection="0"/>
    <xf numFmtId="44" fontId="267" fillId="0" borderId="0" applyFont="0" applyFill="0" applyBorder="0" applyProtection="0"/>
    <xf numFmtId="44" fontId="267" fillId="0" borderId="0" applyFont="0" applyFill="0" applyBorder="0" applyProtection="0"/>
    <xf numFmtId="0" fontId="28" fillId="0" borderId="0"/>
    <xf numFmtId="0" fontId="3" fillId="0" borderId="0"/>
    <xf numFmtId="0" fontId="46" fillId="8" borderId="0" applyNumberFormat="0"/>
    <xf numFmtId="0" fontId="47" fillId="0" borderId="12" applyNumberFormat="0" applyFill="0" applyProtection="0"/>
    <xf numFmtId="0" fontId="47" fillId="0" borderId="12" applyNumberFormat="0" applyFill="0" applyProtection="0"/>
    <xf numFmtId="0" fontId="48" fillId="0" borderId="13" applyNumberFormat="0" applyFill="0" applyProtection="0"/>
    <xf numFmtId="0" fontId="48" fillId="0" borderId="13" applyNumberFormat="0" applyFill="0" applyProtection="0"/>
    <xf numFmtId="0" fontId="49" fillId="0" borderId="14" applyNumberFormat="0" applyFill="0" applyProtection="0"/>
    <xf numFmtId="0" fontId="49" fillId="0" borderId="14" applyNumberFormat="0" applyFill="0" applyProtection="0"/>
    <xf numFmtId="0" fontId="49" fillId="0" borderId="0" applyNumberFormat="0" applyFill="0" applyBorder="0" applyProtection="0"/>
    <xf numFmtId="0" fontId="50" fillId="0" borderId="0" applyBorder="0">
      <alignment horizontal="center" vertical="center" wrapText="1"/>
    </xf>
    <xf numFmtId="0" fontId="51" fillId="0" borderId="15" applyBorder="0">
      <alignment horizontal="center" vertical="center" wrapText="1"/>
    </xf>
    <xf numFmtId="0" fontId="51" fillId="0" borderId="15" applyBorder="0">
      <alignment horizontal="center" vertical="center" wrapText="1"/>
    </xf>
    <xf numFmtId="0" fontId="51" fillId="0" borderId="15" applyBorder="0">
      <alignment horizontal="center" vertical="center" wrapText="1"/>
    </xf>
    <xf numFmtId="176" fontId="52" fillId="8" borderId="7"/>
    <xf numFmtId="4" fontId="53" fillId="2" borderId="5" applyBorder="0">
      <alignment horizontal="right"/>
    </xf>
    <xf numFmtId="4" fontId="53" fillId="2" borderId="5" applyBorder="0">
      <alignment horizontal="right"/>
    </xf>
    <xf numFmtId="0" fontId="54" fillId="0" borderId="16" applyNumberFormat="0" applyFill="0" applyProtection="0"/>
    <xf numFmtId="0" fontId="54" fillId="0" borderId="16" applyNumberFormat="0" applyFill="0" applyProtection="0"/>
    <xf numFmtId="0" fontId="54" fillId="0" borderId="16" applyNumberFormat="0" applyFill="0" applyProtection="0"/>
    <xf numFmtId="0" fontId="54" fillId="0" borderId="16" applyNumberFormat="0" applyFill="0" applyProtection="0"/>
    <xf numFmtId="180" fontId="55" fillId="0" borderId="5"/>
    <xf numFmtId="180" fontId="55" fillId="0" borderId="5"/>
    <xf numFmtId="3" fontId="37" fillId="25" borderId="5"/>
    <xf numFmtId="3" fontId="37" fillId="25" borderId="5"/>
    <xf numFmtId="0" fontId="56" fillId="27" borderId="17" applyNumberFormat="0" applyProtection="0"/>
    <xf numFmtId="0" fontId="57" fillId="6" borderId="0" applyFill="0">
      <alignment wrapText="1"/>
    </xf>
    <xf numFmtId="0" fontId="58" fillId="0" borderId="0">
      <alignment horizontal="center" vertical="top" wrapText="1"/>
    </xf>
    <xf numFmtId="0" fontId="59" fillId="0" borderId="0">
      <alignment horizontal="center" vertical="center" wrapText="1"/>
    </xf>
    <xf numFmtId="0" fontId="58" fillId="0" borderId="0">
      <alignment horizontal="center" vertical="top" wrapText="1"/>
    </xf>
    <xf numFmtId="0" fontId="60" fillId="0" borderId="0" applyNumberFormat="0" applyFill="0" applyBorder="0" applyProtection="0"/>
    <xf numFmtId="0" fontId="60" fillId="0" borderId="0" applyNumberFormat="0" applyFill="0" applyBorder="0" applyProtection="0"/>
    <xf numFmtId="181" fontId="61" fillId="0" borderId="0"/>
    <xf numFmtId="0" fontId="62" fillId="2" borderId="0" applyNumberFormat="0" applyBorder="0" applyProtection="0"/>
    <xf numFmtId="49" fontId="30" fillId="0" borderId="5">
      <alignment horizontal="right" vertical="top" wrapText="1"/>
    </xf>
    <xf numFmtId="49" fontId="30" fillId="0" borderId="5">
      <alignment horizontal="right" vertical="top" wrapText="1"/>
    </xf>
    <xf numFmtId="182" fontId="63" fillId="0" borderId="0">
      <alignment horizontal="right" vertical="top" wrapText="1"/>
    </xf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64" fillId="0" borderId="0"/>
    <xf numFmtId="0" fontId="8" fillId="0" borderId="0"/>
    <xf numFmtId="0" fontId="267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8" fillId="0" borderId="0"/>
    <xf numFmtId="0" fontId="65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64" fillId="0" borderId="0"/>
    <xf numFmtId="0" fontId="23" fillId="0" borderId="0"/>
    <xf numFmtId="0" fontId="2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267" fillId="0" borderId="0"/>
    <xf numFmtId="0" fontId="65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3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66" fillId="0" borderId="0"/>
    <xf numFmtId="0" fontId="3" fillId="0" borderId="0"/>
    <xf numFmtId="0" fontId="66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183" fontId="67" fillId="0" borderId="5"/>
    <xf numFmtId="183" fontId="67" fillId="0" borderId="5"/>
    <xf numFmtId="0" fontId="68" fillId="5" borderId="0" applyNumberFormat="0" applyBorder="0" applyProtection="0"/>
    <xf numFmtId="179" fontId="69" fillId="0" borderId="5">
      <alignment vertical="top"/>
    </xf>
    <xf numFmtId="179" fontId="69" fillId="0" borderId="5">
      <alignment vertical="top"/>
    </xf>
    <xf numFmtId="0" fontId="8" fillId="28" borderId="0" applyNumberFormat="0" applyFont="0" applyBorder="0">
      <protection locked="0"/>
    </xf>
    <xf numFmtId="0" fontId="70" fillId="0" borderId="0" applyNumberFormat="0" applyFill="0" applyBorder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8" fillId="11" borderId="18" applyNumberFormat="0" applyFont="0" applyProtection="0"/>
    <xf numFmtId="0" fontId="23" fillId="11" borderId="18" applyNumberFormat="0" applyFont="0" applyProtection="0"/>
    <xf numFmtId="0" fontId="23" fillId="11" borderId="18" applyNumberFormat="0" applyFont="0" applyProtection="0"/>
    <xf numFmtId="49" fontId="38" fillId="0" borderId="1">
      <alignment horizontal="left" vertical="center"/>
    </xf>
    <xf numFmtId="9" fontId="71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9" fontId="23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3" fillId="0" borderId="0" applyFont="0" applyFill="0" applyBorder="0" applyProtection="0"/>
    <xf numFmtId="9" fontId="267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9" fontId="267" fillId="0" borderId="0" applyFont="0" applyFill="0" applyBorder="0" applyProtection="0"/>
    <xf numFmtId="180" fontId="72" fillId="0" borderId="5"/>
    <xf numFmtId="180" fontId="72" fillId="0" borderId="5"/>
    <xf numFmtId="3" fontId="7" fillId="29" borderId="1">
      <alignment horizontal="justify" vertical="center"/>
    </xf>
    <xf numFmtId="0" fontId="73" fillId="0" borderId="19" applyNumberFormat="0" applyFill="0" applyProtection="0"/>
    <xf numFmtId="0" fontId="74" fillId="0" borderId="0" applyNumberFormat="0" applyFont="0" applyBorder="0">
      <alignment horizontal="center"/>
    </xf>
    <xf numFmtId="0" fontId="4" fillId="0" borderId="0"/>
    <xf numFmtId="0" fontId="4" fillId="0" borderId="0"/>
    <xf numFmtId="0" fontId="74" fillId="0" borderId="5">
      <alignment vertical="center" wrapText="1"/>
    </xf>
    <xf numFmtId="0" fontId="74" fillId="0" borderId="5">
      <alignment vertical="center" wrapText="1"/>
    </xf>
    <xf numFmtId="49" fontId="63" fillId="0" borderId="0"/>
    <xf numFmtId="49" fontId="75" fillId="0" borderId="0">
      <alignment vertical="top"/>
    </xf>
    <xf numFmtId="1" fontId="76" fillId="0" borderId="0"/>
    <xf numFmtId="0" fontId="77" fillId="0" borderId="0" applyNumberFormat="0" applyFill="0" applyBorder="0" applyProtection="0"/>
    <xf numFmtId="49" fontId="57" fillId="0" borderId="0">
      <alignment horizontal="center"/>
    </xf>
    <xf numFmtId="0" fontId="78" fillId="30" borderId="20" applyNumberFormat="0" applyFont="0" applyProtection="0">
      <alignment wrapText="1"/>
    </xf>
    <xf numFmtId="184" fontId="18" fillId="0" borderId="0"/>
    <xf numFmtId="185" fontId="8" fillId="0" borderId="0" applyFont="0" applyFill="0" applyBorder="0" applyProtection="0"/>
    <xf numFmtId="3" fontId="79" fillId="0" borderId="1" applyFont="0" applyBorder="0">
      <alignment horizontal="right"/>
      <protection locked="0"/>
    </xf>
    <xf numFmtId="186" fontId="8" fillId="0" borderId="0" applyFont="0" applyFill="0" applyBorder="0" applyProtection="0"/>
    <xf numFmtId="38" fontId="8" fillId="0" borderId="0" applyFont="0" applyFill="0" applyBorder="0" applyProtection="0"/>
    <xf numFmtId="187" fontId="18" fillId="0" borderId="0" applyNumberFormat="0" applyFont="0" applyBorder="0">
      <alignment horizontal="center"/>
    </xf>
    <xf numFmtId="43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65" fontId="267" fillId="0" borderId="0" applyFont="0" applyFill="0" applyBorder="0" applyProtection="0"/>
    <xf numFmtId="165" fontId="267" fillId="0" borderId="0" applyFont="0" applyFill="0" applyBorder="0" applyProtection="0"/>
    <xf numFmtId="165" fontId="267" fillId="0" borderId="0" applyFont="0" applyFill="0" applyBorder="0" applyProtection="0"/>
    <xf numFmtId="165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165" fontId="267" fillId="0" borderId="0" applyFont="0" applyFill="0" applyBorder="0" applyProtection="0"/>
    <xf numFmtId="165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165" fontId="267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9" fontId="3" fillId="0" borderId="0" applyFont="0" applyFill="0" applyBorder="0" applyProtection="0"/>
    <xf numFmtId="43" fontId="267" fillId="0" borderId="0" applyFont="0" applyFill="0" applyBorder="0" applyProtection="0"/>
    <xf numFmtId="43" fontId="267" fillId="0" borderId="0" applyFont="0" applyFill="0" applyBorder="0" applyProtection="0"/>
    <xf numFmtId="0" fontId="65" fillId="0" borderId="0"/>
    <xf numFmtId="43" fontId="267" fillId="0" borderId="0" applyFont="0" applyFill="0" applyBorder="0" applyProtection="0"/>
    <xf numFmtId="43" fontId="267" fillId="0" borderId="0" applyFont="0" applyFill="0" applyBorder="0" applyProtection="0"/>
    <xf numFmtId="165" fontId="267" fillId="0" borderId="0" applyFont="0" applyFill="0" applyBorder="0" applyProtection="0"/>
    <xf numFmtId="165" fontId="267" fillId="0" borderId="0" applyFont="0" applyFill="0" applyBorder="0" applyProtection="0"/>
    <xf numFmtId="165" fontId="267" fillId="0" borderId="0" applyFont="0" applyFill="0" applyBorder="0" applyProtection="0"/>
    <xf numFmtId="188" fontId="267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267" fillId="0" borderId="0" applyFont="0" applyFill="0" applyBorder="0" applyProtection="0"/>
    <xf numFmtId="188" fontId="28" fillId="0" borderId="0" applyFont="0" applyFill="0" applyBorder="0" applyProtection="0"/>
    <xf numFmtId="188" fontId="8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3" fillId="0" borderId="0" applyFont="0" applyFill="0" applyBorder="0" applyProtection="0"/>
    <xf numFmtId="43" fontId="3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8" fillId="0" borderId="0" applyFont="0" applyFill="0" applyBorder="0" applyProtection="0"/>
    <xf numFmtId="43" fontId="3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23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1" fontId="3" fillId="0" borderId="0" applyFont="0" applyFill="0" applyBorder="0" applyProtection="0"/>
    <xf numFmtId="41" fontId="3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90" fontId="8" fillId="0" borderId="0" applyFont="0" applyFill="0" applyBorder="0" applyProtection="0"/>
    <xf numFmtId="191" fontId="8" fillId="0" borderId="0" applyFont="0" applyFill="0" applyBorder="0" applyProtection="0"/>
    <xf numFmtId="192" fontId="8" fillId="0" borderId="0" applyFont="0" applyFill="0" applyBorder="0" applyProtection="0"/>
    <xf numFmtId="4" fontId="53" fillId="6" borderId="0" applyBorder="0">
      <alignment horizontal="right"/>
    </xf>
    <xf numFmtId="4" fontId="53" fillId="9" borderId="21" applyBorder="0">
      <alignment horizontal="right"/>
    </xf>
    <xf numFmtId="4" fontId="53" fillId="6" borderId="5" applyFont="0" applyBorder="0">
      <alignment horizontal="right"/>
    </xf>
    <xf numFmtId="4" fontId="53" fillId="6" borderId="5" applyFont="0" applyBorder="0">
      <alignment horizontal="right"/>
    </xf>
    <xf numFmtId="0" fontId="80" fillId="6" borderId="0" applyNumberFormat="0" applyBorder="0" applyProtection="0"/>
    <xf numFmtId="193" fontId="8" fillId="0" borderId="1">
      <alignment vertical="top" wrapText="1"/>
    </xf>
    <xf numFmtId="170" fontId="15" fillId="0" borderId="0">
      <protection locked="0"/>
    </xf>
    <xf numFmtId="49" fontId="36" fillId="0" borderId="5">
      <alignment horizontal="center" vertical="center" wrapText="1"/>
    </xf>
    <xf numFmtId="49" fontId="36" fillId="0" borderId="5">
      <alignment horizontal="center" vertical="center" wrapText="1"/>
    </xf>
    <xf numFmtId="49" fontId="78" fillId="0" borderId="5" applyNumberFormat="0" applyFill="0" applyProtection="0"/>
    <xf numFmtId="49" fontId="78" fillId="0" borderId="5" applyNumberFormat="0" applyFill="0" applyProtection="0"/>
    <xf numFmtId="0" fontId="28" fillId="0" borderId="0"/>
    <xf numFmtId="0" fontId="25" fillId="21" borderId="0" applyNumberFormat="0" applyBorder="0" applyProtection="0"/>
    <xf numFmtId="0" fontId="23" fillId="4" borderId="0" applyNumberFormat="0" applyBorder="0" applyProtection="0"/>
    <xf numFmtId="0" fontId="23" fillId="4" borderId="0" applyNumberFormat="0" applyBorder="0" applyProtection="0"/>
    <xf numFmtId="0" fontId="25" fillId="12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21" borderId="0" applyNumberFormat="0" applyBorder="0" applyProtection="0"/>
    <xf numFmtId="0" fontId="25" fillId="22" borderId="0" applyNumberFormat="0" applyBorder="0" applyProtection="0"/>
    <xf numFmtId="0" fontId="23" fillId="11" borderId="0" applyNumberFormat="0" applyBorder="0" applyProtection="0"/>
    <xf numFmtId="0" fontId="23" fillId="16" borderId="0" applyNumberFormat="0" applyBorder="0" applyProtection="0"/>
    <xf numFmtId="0" fontId="25" fillId="27" borderId="0" applyNumberFormat="0" applyBorder="0" applyProtection="0"/>
    <xf numFmtId="0" fontId="25" fillId="31" borderId="0" applyNumberFormat="0" applyBorder="0" applyProtection="0"/>
    <xf numFmtId="0" fontId="25" fillId="31" borderId="0" applyNumberFormat="0" applyBorder="0" applyProtection="0"/>
    <xf numFmtId="0" fontId="25" fillId="31" borderId="0" applyNumberFormat="0" applyBorder="0" applyProtection="0"/>
    <xf numFmtId="0" fontId="25" fillId="31" borderId="0" applyNumberFormat="0" applyBorder="0" applyProtection="0"/>
    <xf numFmtId="0" fontId="25" fillId="22" borderId="0" applyNumberFormat="0" applyBorder="0" applyProtection="0"/>
    <xf numFmtId="0" fontId="25" fillId="23" borderId="0" applyNumberFormat="0" applyBorder="0" applyProtection="0"/>
    <xf numFmtId="0" fontId="23" fillId="11" borderId="0" applyNumberFormat="0" applyBorder="0" applyProtection="0"/>
    <xf numFmtId="0" fontId="23" fillId="6" borderId="0" applyNumberFormat="0" applyBorder="0" applyProtection="0"/>
    <xf numFmtId="0" fontId="25" fillId="16" borderId="0" applyNumberFormat="0" applyBorder="0" applyProtection="0"/>
    <xf numFmtId="0" fontId="25" fillId="31" borderId="0" applyNumberFormat="0" applyBorder="0" applyProtection="0"/>
    <xf numFmtId="0" fontId="25" fillId="31" borderId="0" applyNumberFormat="0" applyBorder="0" applyProtection="0"/>
    <xf numFmtId="0" fontId="25" fillId="31" borderId="0" applyNumberFormat="0" applyBorder="0" applyProtection="0"/>
    <xf numFmtId="0" fontId="25" fillId="31" borderId="0" applyNumberFormat="0" applyBorder="0" applyProtection="0"/>
    <xf numFmtId="0" fontId="25" fillId="23" borderId="0" applyNumberFormat="0" applyBorder="0" applyProtection="0"/>
    <xf numFmtId="0" fontId="25" fillId="18" borderId="0" applyNumberFormat="0" applyBorder="0" applyProtection="0"/>
    <xf numFmtId="0" fontId="23" fillId="4" borderId="0" applyNumberFormat="0" applyBorder="0" applyProtection="0"/>
    <xf numFmtId="0" fontId="23" fillId="16" borderId="0" applyNumberFormat="0" applyBorder="0" applyProtection="0"/>
    <xf numFmtId="0" fontId="25" fillId="16" borderId="0" applyNumberFormat="0" applyBorder="0" applyProtection="0"/>
    <xf numFmtId="0" fontId="25" fillId="32" borderId="0" applyNumberFormat="0" applyBorder="0" applyProtection="0"/>
    <xf numFmtId="0" fontId="25" fillId="32" borderId="0" applyNumberFormat="0" applyBorder="0" applyProtection="0"/>
    <xf numFmtId="0" fontId="25" fillId="32" borderId="0" applyNumberFormat="0" applyBorder="0" applyProtection="0"/>
    <xf numFmtId="0" fontId="25" fillId="32" borderId="0" applyNumberFormat="0" applyBorder="0" applyProtection="0"/>
    <xf numFmtId="0" fontId="25" fillId="18" borderId="0" applyNumberFormat="0" applyBorder="0" applyProtection="0"/>
    <xf numFmtId="0" fontId="25" fillId="19" borderId="0" applyNumberFormat="0" applyBorder="0" applyProtection="0"/>
    <xf numFmtId="0" fontId="23" fillId="8" borderId="0" applyNumberFormat="0" applyBorder="0" applyProtection="0"/>
    <xf numFmtId="0" fontId="23" fillId="4" borderId="0" applyNumberFormat="0" applyBorder="0" applyProtection="0"/>
    <xf numFmtId="0" fontId="25" fillId="12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19" borderId="0" applyNumberFormat="0" applyBorder="0" applyProtection="0"/>
    <xf numFmtId="0" fontId="25" fillId="24" borderId="0" applyNumberFormat="0" applyBorder="0" applyProtection="0"/>
    <xf numFmtId="0" fontId="23" fillId="11" borderId="0" applyNumberFormat="0" applyBorder="0" applyProtection="0"/>
    <xf numFmtId="0" fontId="23" fillId="9" borderId="0" applyNumberFormat="0" applyBorder="0" applyProtection="0"/>
    <xf numFmtId="0" fontId="25" fillId="9" borderId="0" applyNumberFormat="0" applyBorder="0" applyProtection="0"/>
    <xf numFmtId="0" fontId="25" fillId="24" borderId="0" applyNumberFormat="0" applyBorder="0" applyProtection="0"/>
    <xf numFmtId="0" fontId="25" fillId="24" borderId="0" applyNumberFormat="0" applyBorder="0" applyProtection="0"/>
    <xf numFmtId="0" fontId="25" fillId="24" borderId="0" applyNumberFormat="0" applyBorder="0" applyProtection="0"/>
    <xf numFmtId="0" fontId="25" fillId="24" borderId="0" applyNumberFormat="0" applyBorder="0" applyProtection="0"/>
    <xf numFmtId="0" fontId="25" fillId="24" borderId="0" applyNumberFormat="0" applyBorder="0" applyProtection="0"/>
    <xf numFmtId="0" fontId="81" fillId="0" borderId="0" applyNumberFormat="0" applyFill="0" applyBorder="0" applyProtection="0">
      <alignment vertical="top"/>
      <protection locked="0"/>
    </xf>
    <xf numFmtId="0" fontId="82" fillId="0" borderId="0"/>
    <xf numFmtId="166" fontId="5" fillId="0" borderId="0" applyFont="0" applyFill="0" applyBorder="0" applyProtection="0"/>
    <xf numFmtId="194" fontId="83" fillId="0" borderId="0">
      <alignment horizontal="left"/>
    </xf>
    <xf numFmtId="0" fontId="84" fillId="0" borderId="1">
      <protection hidden="1"/>
    </xf>
    <xf numFmtId="0" fontId="85" fillId="0" borderId="0" applyFill="0" applyBorder="0" applyProtection="0">
      <alignment horizontal="left" vertical="top" wrapText="1"/>
    </xf>
    <xf numFmtId="0" fontId="68" fillId="5" borderId="0" applyNumberFormat="0" applyBorder="0" applyProtection="0"/>
    <xf numFmtId="0" fontId="86" fillId="5" borderId="0" applyNumberFormat="0" applyBorder="0" applyProtection="0"/>
    <xf numFmtId="0" fontId="68" fillId="5" borderId="0" applyNumberFormat="0" applyBorder="0" applyProtection="0"/>
    <xf numFmtId="10" fontId="87" fillId="0" borderId="0" applyNumberFormat="0" applyFill="0" applyBorder="0"/>
    <xf numFmtId="0" fontId="88" fillId="0" borderId="0" applyNumberFormat="0" applyFill="0" applyBorder="0" applyProtection="0"/>
    <xf numFmtId="0" fontId="5" fillId="0" borderId="0" applyFill="0" applyBorder="0"/>
    <xf numFmtId="195" fontId="65" fillId="0" borderId="0" applyFill="0" applyBorder="0"/>
    <xf numFmtId="195" fontId="65" fillId="0" borderId="0" applyFill="0" applyBorder="0"/>
    <xf numFmtId="195" fontId="65" fillId="0" borderId="0" applyFill="0" applyBorder="0"/>
    <xf numFmtId="195" fontId="65" fillId="0" borderId="0" applyFill="0" applyBorder="0"/>
    <xf numFmtId="0" fontId="5" fillId="0" borderId="0" applyFill="0" applyBorder="0"/>
    <xf numFmtId="195" fontId="65" fillId="0" borderId="0" applyFill="0" applyBorder="0"/>
    <xf numFmtId="176" fontId="89" fillId="0" borderId="0" applyFill="0" applyBorder="0"/>
    <xf numFmtId="180" fontId="89" fillId="0" borderId="0" applyFill="0" applyBorder="0"/>
    <xf numFmtId="196" fontId="89" fillId="0" borderId="0" applyFill="0" applyBorder="0"/>
    <xf numFmtId="197" fontId="89" fillId="0" borderId="0" applyFill="0" applyBorder="0"/>
    <xf numFmtId="198" fontId="89" fillId="0" borderId="0" applyFill="0" applyBorder="0"/>
    <xf numFmtId="199" fontId="89" fillId="0" borderId="0" applyFill="0" applyBorder="0"/>
    <xf numFmtId="176" fontId="89" fillId="0" borderId="0" applyFill="0" applyBorder="0"/>
    <xf numFmtId="0" fontId="34" fillId="16" borderId="9" applyNumberFormat="0" applyProtection="0"/>
    <xf numFmtId="0" fontId="34" fillId="10" borderId="9" applyNumberFormat="0" applyProtection="0"/>
    <xf numFmtId="0" fontId="34" fillId="10" borderId="9" applyNumberFormat="0" applyProtection="0"/>
    <xf numFmtId="0" fontId="34" fillId="16" borderId="9" applyNumberFormat="0" applyProtection="0"/>
    <xf numFmtId="0" fontId="34" fillId="16" borderId="9" applyNumberFormat="0" applyProtection="0"/>
    <xf numFmtId="0" fontId="90" fillId="0" borderId="0" applyNumberFormat="0" applyFill="0" applyBorder="0" applyProtection="0">
      <alignment horizontal="left" wrapText="1"/>
    </xf>
    <xf numFmtId="0" fontId="19" fillId="0" borderId="3">
      <protection locked="0"/>
    </xf>
    <xf numFmtId="0" fontId="91" fillId="0" borderId="0" applyFill="0" applyBorder="0" applyProtection="0">
      <alignment horizontal="center"/>
      <protection locked="0"/>
    </xf>
    <xf numFmtId="0" fontId="3" fillId="0" borderId="0"/>
    <xf numFmtId="200" fontId="3" fillId="0" borderId="0" applyFont="0" applyFill="0" applyBorder="0" applyProtection="0"/>
    <xf numFmtId="0" fontId="56" fillId="27" borderId="17" applyNumberFormat="0" applyProtection="0"/>
    <xf numFmtId="0" fontId="56" fillId="27" borderId="17" applyNumberFormat="0" applyProtection="0"/>
    <xf numFmtId="0" fontId="56" fillId="27" borderId="17" applyNumberFormat="0" applyProtection="0"/>
    <xf numFmtId="201" fontId="3" fillId="0" borderId="0" applyFont="0" applyFill="0" applyBorder="0" applyProtection="0">
      <alignment horizontal="right"/>
    </xf>
    <xf numFmtId="202" fontId="3" fillId="0" borderId="0" applyFont="0" applyFill="0" applyBorder="0" applyProtection="0">
      <alignment horizontal="right" vertical="center"/>
    </xf>
    <xf numFmtId="203" fontId="3" fillId="10" borderId="22" applyFont="0" applyFill="0" applyBorder="0" applyProtection="0">
      <alignment horizontal="right"/>
    </xf>
    <xf numFmtId="203" fontId="3" fillId="10" borderId="22" applyFont="0" applyFill="0" applyBorder="0" applyProtection="0">
      <alignment horizontal="right"/>
    </xf>
    <xf numFmtId="10" fontId="92" fillId="0" borderId="0">
      <alignment horizontal="right" vertical="top"/>
    </xf>
    <xf numFmtId="37" fontId="92" fillId="0" borderId="0">
      <alignment horizontal="right" vertical="top"/>
    </xf>
    <xf numFmtId="167" fontId="92" fillId="0" borderId="0">
      <alignment horizontal="right" vertical="top"/>
    </xf>
    <xf numFmtId="39" fontId="92" fillId="0" borderId="0">
      <alignment horizontal="right" vertical="top"/>
    </xf>
    <xf numFmtId="204" fontId="92" fillId="0" borderId="0"/>
    <xf numFmtId="1" fontId="93" fillId="0" borderId="5">
      <alignment horizontal="center" vertical="center"/>
    </xf>
    <xf numFmtId="1" fontId="93" fillId="0" borderId="5">
      <alignment horizontal="center" vertical="center"/>
    </xf>
    <xf numFmtId="205" fontId="3" fillId="0" borderId="23" applyFont="0" applyFill="0" applyBorder="0" applyProtection="0">
      <alignment horizontal="center"/>
      <protection locked="0"/>
    </xf>
    <xf numFmtId="205" fontId="3" fillId="0" borderId="23" applyFont="0" applyFill="0" applyBorder="0" applyProtection="0">
      <alignment horizontal="center"/>
      <protection locked="0"/>
    </xf>
    <xf numFmtId="205" fontId="3" fillId="0" borderId="23" applyFont="0" applyFill="0" applyBorder="0" applyProtection="0">
      <alignment horizontal="center"/>
      <protection locked="0"/>
    </xf>
    <xf numFmtId="0" fontId="83" fillId="0" borderId="0" applyNumberFormat="0" applyFill="0" applyBorder="0" applyProtection="0"/>
    <xf numFmtId="0" fontId="65" fillId="0" borderId="1"/>
    <xf numFmtId="0" fontId="83" fillId="0" borderId="0" applyNumberFormat="0" applyFill="0" applyBorder="0" applyProtection="0"/>
    <xf numFmtId="0" fontId="94" fillId="33" borderId="0"/>
    <xf numFmtId="198" fontId="89" fillId="0" borderId="0" applyFont="0" applyFill="0" applyBorder="0" applyProtection="0"/>
    <xf numFmtId="0" fontId="95" fillId="0" borderId="0" applyFont="0" applyFill="0" applyBorder="0" applyProtection="0">
      <alignment horizontal="right"/>
    </xf>
    <xf numFmtId="206" fontId="3" fillId="0" borderId="0" applyFont="0" applyFill="0" applyBorder="0" applyProtection="0"/>
    <xf numFmtId="206" fontId="3" fillId="0" borderId="0" applyFont="0" applyFill="0" applyBorder="0" applyProtection="0"/>
    <xf numFmtId="206" fontId="3" fillId="0" borderId="0" applyFont="0" applyFill="0" applyBorder="0" applyProtection="0"/>
    <xf numFmtId="207" fontId="3" fillId="0" borderId="0" applyFont="0" applyFill="0" applyBorder="0" applyProtection="0"/>
    <xf numFmtId="207" fontId="3" fillId="0" borderId="0" applyFont="0" applyFill="0" applyBorder="0" applyProtection="0"/>
    <xf numFmtId="207" fontId="3" fillId="0" borderId="0" applyFont="0" applyFill="0" applyBorder="0" applyProtection="0"/>
    <xf numFmtId="208" fontId="3" fillId="0" borderId="0" applyFont="0" applyFill="0" applyBorder="0" applyProtection="0"/>
    <xf numFmtId="208" fontId="3" fillId="0" borderId="0" applyFont="0" applyFill="0" applyBorder="0" applyProtection="0"/>
    <xf numFmtId="208" fontId="3" fillId="0" borderId="0" applyFont="0" applyFill="0" applyBorder="0" applyProtection="0"/>
    <xf numFmtId="0" fontId="95" fillId="0" borderId="0" applyFont="0" applyFill="0" applyBorder="0" applyProtection="0"/>
    <xf numFmtId="43" fontId="3" fillId="0" borderId="0" applyFont="0" applyFill="0" applyBorder="0" applyProtection="0"/>
    <xf numFmtId="183" fontId="2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6" fontId="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8" fontId="267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0" fontId="95" fillId="0" borderId="0" applyFont="0" applyFill="0" applyBorder="0" applyProtection="0">
      <alignment horizontal="right"/>
    </xf>
    <xf numFmtId="188" fontId="23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209" fontId="3" fillId="0" borderId="0" applyFont="0" applyFill="0" applyBorder="0" applyProtection="0"/>
    <xf numFmtId="210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88" fontId="267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43" fontId="3" fillId="0" borderId="0" applyFont="0" applyFill="0" applyBorder="0" applyProtection="0"/>
    <xf numFmtId="43" fontId="28" fillId="0" borderId="0" applyFont="0" applyFill="0" applyBorder="0" applyProtection="0"/>
    <xf numFmtId="43" fontId="28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8" fontId="8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188" fontId="2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87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0" fontId="95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165" fontId="3" fillId="0" borderId="0" applyFont="0" applyFill="0" applyBorder="0" applyProtection="0"/>
    <xf numFmtId="0" fontId="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3" fillId="0" borderId="0" applyFont="0" applyFill="0" applyBorder="0" applyProtection="0"/>
    <xf numFmtId="211" fontId="3" fillId="0" borderId="0" applyFont="0" applyFill="0" applyBorder="0" applyProtection="0"/>
    <xf numFmtId="211" fontId="3" fillId="0" borderId="0" applyFont="0" applyFill="0" applyBorder="0" applyProtection="0"/>
    <xf numFmtId="43" fontId="3" fillId="0" borderId="0" applyFont="0" applyFill="0" applyBorder="0" applyProtection="0"/>
    <xf numFmtId="165" fontId="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211" fontId="3" fillId="0" borderId="0" applyFont="0" applyFill="0" applyBorder="0" applyProtection="0"/>
    <xf numFmtId="211" fontId="3" fillId="0" borderId="0" applyFont="0" applyFill="0" applyBorder="0" applyProtection="0"/>
    <xf numFmtId="43" fontId="3" fillId="0" borderId="0" applyFont="0" applyFill="0" applyBorder="0" applyProtection="0"/>
    <xf numFmtId="188" fontId="96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43" fontId="23" fillId="0" borderId="0" applyFont="0" applyFill="0" applyBorder="0" applyProtection="0"/>
    <xf numFmtId="188" fontId="8" fillId="0" borderId="0" applyFont="0" applyFill="0" applyBorder="0" applyProtection="0"/>
    <xf numFmtId="0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188" fontId="8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188" fontId="23" fillId="0" borderId="0" applyFont="0" applyFill="0" applyBorder="0" applyProtection="0"/>
    <xf numFmtId="0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0" fontId="3" fillId="0" borderId="0" applyFont="0" applyFill="0" applyBorder="0" applyProtection="0"/>
    <xf numFmtId="210" fontId="23" fillId="0" borderId="0" applyFont="0" applyFill="0" applyBorder="0" applyProtection="0"/>
    <xf numFmtId="3" fontId="97" fillId="0" borderId="0" applyFont="0" applyFill="0" applyBorder="0" applyProtection="0"/>
    <xf numFmtId="0" fontId="4" fillId="0" borderId="0"/>
    <xf numFmtId="37" fontId="3" fillId="0" borderId="0" applyFill="0" applyBorder="0" applyProtection="0"/>
    <xf numFmtId="37" fontId="3" fillId="0" borderId="0" applyFill="0" applyBorder="0" applyProtection="0"/>
    <xf numFmtId="37" fontId="3" fillId="0" borderId="0" applyFill="0" applyBorder="0" applyProtection="0"/>
    <xf numFmtId="37" fontId="3" fillId="0" borderId="0" applyFill="0" applyBorder="0" applyProtection="0"/>
    <xf numFmtId="37" fontId="3" fillId="0" borderId="0" applyFill="0" applyBorder="0" applyProtection="0"/>
    <xf numFmtId="37" fontId="3" fillId="0" borderId="0" applyFill="0" applyBorder="0" applyProtection="0"/>
    <xf numFmtId="37" fontId="3" fillId="0" borderId="0" applyFill="0" applyBorder="0" applyProtection="0"/>
    <xf numFmtId="37" fontId="3" fillId="0" borderId="0" applyFill="0" applyBorder="0" applyProtection="0"/>
    <xf numFmtId="176" fontId="98" fillId="0" borderId="0"/>
    <xf numFmtId="0" fontId="99" fillId="0" borderId="0" applyFill="0" applyBorder="0" applyProtection="0">
      <protection locked="0"/>
    </xf>
    <xf numFmtId="202" fontId="100" fillId="6" borderId="0" applyNumberFormat="0" applyFont="0" applyBorder="0" applyProtection="0">
      <alignment horizontal="right" indent="1"/>
    </xf>
    <xf numFmtId="212" fontId="21" fillId="0" borderId="0" applyFill="0" applyBorder="0" applyProtection="0"/>
    <xf numFmtId="212" fontId="21" fillId="0" borderId="24" applyFill="0" applyProtection="0"/>
    <xf numFmtId="212" fontId="21" fillId="0" borderId="24" applyFill="0" applyProtection="0"/>
    <xf numFmtId="212" fontId="21" fillId="0" borderId="3" applyFill="0" applyProtection="0"/>
    <xf numFmtId="212" fontId="21" fillId="0" borderId="0" applyFill="0" applyBorder="0" applyProtection="0"/>
    <xf numFmtId="176" fontId="89" fillId="0" borderId="0" applyFont="0" applyFill="0" applyBorder="0" applyProtection="0"/>
    <xf numFmtId="213" fontId="101" fillId="0" borderId="0" applyBorder="0"/>
    <xf numFmtId="0" fontId="95" fillId="0" borderId="0" applyFont="0" applyFill="0" applyBorder="0" applyProtection="0">
      <alignment horizontal="right"/>
    </xf>
    <xf numFmtId="214" fontId="3" fillId="0" borderId="0" applyFont="0" applyFill="0" applyBorder="0" applyProtection="0"/>
    <xf numFmtId="214" fontId="3" fillId="0" borderId="0" applyFont="0" applyFill="0" applyBorder="0" applyProtection="0"/>
    <xf numFmtId="214" fontId="3" fillId="0" borderId="0" applyFont="0" applyFill="0" applyBorder="0" applyProtection="0"/>
    <xf numFmtId="215" fontId="3" fillId="0" borderId="0" applyFont="0" applyFill="0" applyBorder="0" applyProtection="0"/>
    <xf numFmtId="215" fontId="3" fillId="0" borderId="0" applyFont="0" applyFill="0" applyBorder="0" applyProtection="0"/>
    <xf numFmtId="215" fontId="3" fillId="0" borderId="0" applyFont="0" applyFill="0" applyBorder="0" applyProtection="0"/>
    <xf numFmtId="212" fontId="3" fillId="0" borderId="0" applyFont="0" applyFill="0" applyBorder="0" applyProtection="0"/>
    <xf numFmtId="212" fontId="3" fillId="0" borderId="0" applyFont="0" applyFill="0" applyBorder="0" applyProtection="0"/>
    <xf numFmtId="212" fontId="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0" fontId="95" fillId="0" borderId="0" applyFont="0" applyFill="0" applyBorder="0" applyProtection="0">
      <alignment horizontal="right"/>
    </xf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216" fontId="23" fillId="0" borderId="0" applyFont="0" applyFill="0" applyBorder="0" applyProtection="0"/>
    <xf numFmtId="37" fontId="3" fillId="0" borderId="25" applyFont="0" applyFill="0" applyBorder="0"/>
    <xf numFmtId="37" fontId="3" fillId="0" borderId="25" applyFont="0" applyFill="0" applyBorder="0"/>
    <xf numFmtId="37" fontId="90" fillId="0" borderId="25" applyFont="0" applyFill="0" applyBorder="0">
      <protection locked="0"/>
    </xf>
    <xf numFmtId="37" fontId="90" fillId="0" borderId="25" applyFont="0" applyFill="0" applyBorder="0">
      <protection locked="0"/>
    </xf>
    <xf numFmtId="37" fontId="102" fillId="16" borderId="5" applyFill="0" applyBorder="0" applyProtection="0"/>
    <xf numFmtId="37" fontId="102" fillId="16" borderId="5" applyFill="0" applyBorder="0" applyProtection="0"/>
    <xf numFmtId="37" fontId="90" fillId="0" borderId="25" applyFill="0" applyBorder="0">
      <protection locked="0"/>
    </xf>
    <xf numFmtId="217" fontId="103" fillId="0" borderId="0" applyFont="0" applyFill="0" applyBorder="0" applyProtection="0"/>
    <xf numFmtId="0" fontId="95" fillId="0" borderId="0" applyFill="0" applyBorder="0" applyProtection="0">
      <alignment vertical="center"/>
    </xf>
    <xf numFmtId="0" fontId="104" fillId="0" borderId="0"/>
    <xf numFmtId="0" fontId="105" fillId="0" borderId="0" applyNumberFormat="0"/>
    <xf numFmtId="0" fontId="97" fillId="0" borderId="0" applyFont="0" applyFill="0" applyBorder="0" applyProtection="0"/>
    <xf numFmtId="218" fontId="3" fillId="0" borderId="0" applyFont="0" applyFill="0" applyBorder="0" applyProtection="0"/>
    <xf numFmtId="0" fontId="95" fillId="0" borderId="0" applyFont="0" applyFill="0" applyBorder="0" applyProtection="0"/>
    <xf numFmtId="15" fontId="38" fillId="0" borderId="26" applyFont="0" applyFill="0" applyBorder="0">
      <alignment horizontal="centerContinuous"/>
    </xf>
    <xf numFmtId="219" fontId="38" fillId="0" borderId="26" applyFont="0" applyFill="0" applyBorder="0">
      <alignment horizontal="centerContinuous"/>
    </xf>
    <xf numFmtId="14" fontId="3" fillId="0" borderId="0" applyFill="0" applyBorder="0"/>
    <xf numFmtId="220" fontId="106" fillId="0" borderId="0" applyFont="0" applyFill="0" applyBorder="0" applyProtection="0"/>
    <xf numFmtId="17" fontId="3" fillId="16" borderId="27">
      <alignment horizontal="center"/>
    </xf>
    <xf numFmtId="0" fontId="19" fillId="0" borderId="0">
      <protection locked="0"/>
    </xf>
    <xf numFmtId="221" fontId="107" fillId="0" borderId="0"/>
    <xf numFmtId="222" fontId="107" fillId="0" borderId="0"/>
    <xf numFmtId="215" fontId="21" fillId="0" borderId="0" applyFill="0" applyBorder="0" applyProtection="0"/>
    <xf numFmtId="215" fontId="21" fillId="0" borderId="24" applyFill="0" applyProtection="0"/>
    <xf numFmtId="215" fontId="21" fillId="0" borderId="24" applyFill="0" applyProtection="0"/>
    <xf numFmtId="215" fontId="21" fillId="0" borderId="3" applyFill="0" applyProtection="0"/>
    <xf numFmtId="215" fontId="21" fillId="0" borderId="0" applyFill="0" applyBorder="0" applyProtection="0"/>
    <xf numFmtId="38" fontId="5" fillId="0" borderId="28">
      <alignment vertical="center"/>
    </xf>
    <xf numFmtId="38" fontId="5" fillId="0" borderId="28">
      <alignment vertical="center"/>
    </xf>
    <xf numFmtId="38" fontId="5" fillId="0" borderId="28">
      <alignment vertical="center"/>
    </xf>
    <xf numFmtId="38" fontId="5" fillId="0" borderId="28">
      <alignment vertical="center"/>
    </xf>
    <xf numFmtId="38" fontId="5" fillId="0" borderId="28">
      <alignment vertical="center"/>
    </xf>
    <xf numFmtId="38" fontId="5" fillId="0" borderId="28">
      <alignment vertical="center"/>
    </xf>
    <xf numFmtId="223" fontId="91" fillId="34" borderId="0" applyNumberFormat="0" applyBorder="0" applyProtection="0"/>
    <xf numFmtId="224" fontId="3" fillId="0" borderId="0" applyFont="0" applyFill="0" applyBorder="0" applyProtection="0"/>
    <xf numFmtId="225" fontId="3" fillId="0" borderId="0" applyFont="0" applyFill="0" applyBorder="0" applyProtection="0"/>
    <xf numFmtId="221" fontId="21" fillId="0" borderId="0"/>
    <xf numFmtId="176" fontId="108" fillId="0" borderId="0">
      <alignment horizontal="center"/>
    </xf>
    <xf numFmtId="0" fontId="95" fillId="0" borderId="29" applyNumberFormat="0" applyFont="0" applyFill="0" applyProtection="0"/>
    <xf numFmtId="0" fontId="28" fillId="8" borderId="0"/>
    <xf numFmtId="37" fontId="109" fillId="12" borderId="0">
      <protection locked="0"/>
    </xf>
    <xf numFmtId="38" fontId="5" fillId="0" borderId="0" applyFont="0" applyFill="0" applyBorder="0" applyProtection="0"/>
    <xf numFmtId="226" fontId="3" fillId="0" borderId="0" applyFont="0" applyFill="0" applyBorder="0" applyProtection="0"/>
    <xf numFmtId="0" fontId="110" fillId="0" borderId="0" applyFont="0" applyFill="0" applyBorder="0" applyProtection="0"/>
    <xf numFmtId="227" fontId="3" fillId="0" borderId="0" applyFont="0" applyFill="0" applyBorder="0" applyProtection="0"/>
    <xf numFmtId="0" fontId="88" fillId="0" borderId="0" applyNumberFormat="0" applyFill="0" applyBorder="0" applyProtection="0"/>
    <xf numFmtId="3" fontId="3" fillId="0" borderId="5"/>
    <xf numFmtId="3" fontId="3" fillId="0" borderId="5"/>
    <xf numFmtId="0" fontId="54" fillId="35" borderId="0" applyNumberFormat="0" applyBorder="0" applyProtection="0"/>
    <xf numFmtId="0" fontId="54" fillId="36" borderId="0" applyNumberFormat="0" applyBorder="0" applyProtection="0"/>
    <xf numFmtId="0" fontId="54" fillId="37" borderId="0" applyNumberFormat="0" applyBorder="0" applyProtection="0"/>
    <xf numFmtId="198" fontId="89" fillId="0" borderId="0" applyFill="0" applyBorder="0"/>
    <xf numFmtId="176" fontId="89" fillId="0" borderId="0" applyFill="0" applyBorder="0"/>
    <xf numFmtId="198" fontId="89" fillId="0" borderId="0" applyFill="0" applyBorder="0"/>
    <xf numFmtId="199" fontId="89" fillId="0" borderId="0" applyFill="0" applyBorder="0"/>
    <xf numFmtId="176" fontId="89" fillId="0" borderId="0" applyFill="0" applyBorder="0"/>
    <xf numFmtId="0" fontId="111" fillId="0" borderId="0"/>
    <xf numFmtId="228" fontId="28" fillId="0" borderId="0" applyFont="0" applyFill="0" applyBorder="0" applyProtection="0"/>
    <xf numFmtId="228" fontId="3" fillId="0" borderId="0" applyFont="0" applyFill="0" applyBorder="0" applyProtection="0"/>
    <xf numFmtId="228" fontId="3" fillId="0" borderId="0" applyFont="0" applyFill="0" applyBorder="0" applyProtection="0"/>
    <xf numFmtId="229" fontId="8" fillId="0" borderId="0" applyFont="0" applyFill="0" applyBorder="0" applyProtection="0"/>
    <xf numFmtId="228" fontId="3" fillId="0" borderId="0" applyFont="0" applyFill="0" applyBorder="0" applyProtection="0"/>
    <xf numFmtId="228" fontId="3" fillId="0" borderId="0" applyFont="0" applyFill="0" applyBorder="0" applyProtection="0"/>
    <xf numFmtId="229" fontId="8" fillId="0" borderId="0" applyFont="0" applyFill="0" applyBorder="0" applyProtection="0"/>
    <xf numFmtId="228" fontId="3" fillId="0" borderId="0" applyFont="0" applyFill="0" applyBorder="0" applyProtection="0"/>
    <xf numFmtId="228" fontId="3" fillId="0" borderId="0" applyFont="0" applyFill="0" applyBorder="0" applyProtection="0"/>
    <xf numFmtId="229" fontId="8" fillId="0" borderId="0" applyFont="0" applyFill="0" applyBorder="0" applyProtection="0"/>
    <xf numFmtId="228" fontId="28" fillId="0" borderId="0" applyFont="0" applyFill="0" applyBorder="0" applyProtection="0"/>
    <xf numFmtId="230" fontId="3" fillId="0" borderId="0" applyFill="0" applyBorder="0" applyProtection="0"/>
    <xf numFmtId="37" fontId="3" fillId="0" borderId="0"/>
    <xf numFmtId="0" fontId="70" fillId="0" borderId="0" applyNumberFormat="0" applyFill="0" applyBorder="0" applyProtection="0"/>
    <xf numFmtId="0" fontId="70" fillId="0" borderId="0" applyNumberFormat="0" applyFill="0" applyBorder="0" applyProtection="0"/>
    <xf numFmtId="0" fontId="70" fillId="0" borderId="0" applyNumberFormat="0" applyFill="0" applyBorder="0" applyProtection="0"/>
    <xf numFmtId="172" fontId="18" fillId="0" borderId="30">
      <alignment horizontal="center" vertical="top"/>
    </xf>
    <xf numFmtId="49" fontId="18" fillId="0" borderId="0" applyNumberFormat="0" applyFill="0" applyBorder="0" applyProtection="0">
      <alignment horizontal="center" vertical="top"/>
    </xf>
    <xf numFmtId="0" fontId="3" fillId="0" borderId="0">
      <alignment horizontal="left"/>
    </xf>
    <xf numFmtId="0" fontId="112" fillId="0" borderId="0" applyFont="0" applyBorder="0"/>
    <xf numFmtId="231" fontId="113" fillId="0" borderId="0" applyBorder="0">
      <alignment horizontal="right" vertical="top"/>
    </xf>
    <xf numFmtId="232" fontId="18" fillId="0" borderId="0" applyBorder="0">
      <alignment horizontal="right" vertical="top"/>
    </xf>
    <xf numFmtId="232" fontId="113" fillId="0" borderId="0" applyBorder="0">
      <alignment horizontal="right" vertical="top"/>
    </xf>
    <xf numFmtId="233" fontId="18" fillId="0" borderId="0">
      <alignment horizontal="right" vertical="top"/>
    </xf>
    <xf numFmtId="234" fontId="89" fillId="0" borderId="0" applyFill="0" applyBorder="0">
      <alignment horizontal="right" vertical="top"/>
    </xf>
    <xf numFmtId="233" fontId="18" fillId="0" borderId="0" applyFill="0" applyBorder="0">
      <alignment horizontal="right" vertical="top"/>
    </xf>
    <xf numFmtId="235" fontId="18" fillId="0" borderId="0" applyFill="0" applyBorder="0">
      <alignment horizontal="right" vertical="top"/>
    </xf>
    <xf numFmtId="236" fontId="18" fillId="0" borderId="0" applyFill="0" applyBorder="0">
      <alignment horizontal="right" vertical="top"/>
    </xf>
    <xf numFmtId="237" fontId="18" fillId="0" borderId="0" applyFill="0" applyBorder="0">
      <alignment horizontal="right" vertical="top"/>
    </xf>
    <xf numFmtId="0" fontId="28" fillId="27" borderId="0" applyNumberFormat="0" applyFont="0" applyBorder="0" applyProtection="0"/>
    <xf numFmtId="0" fontId="114" fillId="0" borderId="0" applyNumberFormat="0" applyFill="0" applyBorder="0" applyProtection="0"/>
    <xf numFmtId="0" fontId="115" fillId="0" borderId="0">
      <alignment horizontal="left"/>
    </xf>
    <xf numFmtId="238" fontId="116" fillId="0" borderId="0" applyFill="0" applyBorder="0"/>
    <xf numFmtId="0" fontId="115" fillId="0" borderId="31">
      <alignment horizontal="right" wrapText="1"/>
    </xf>
    <xf numFmtId="0" fontId="117" fillId="0" borderId="4">
      <alignment horizontal="right" wrapText="1"/>
    </xf>
    <xf numFmtId="0" fontId="117" fillId="0" borderId="4">
      <alignment horizontal="right" wrapText="1"/>
    </xf>
    <xf numFmtId="0" fontId="115" fillId="0" borderId="31">
      <alignment horizontal="right" wrapText="1"/>
    </xf>
    <xf numFmtId="0" fontId="117" fillId="0" borderId="4">
      <alignment horizontal="right" wrapText="1"/>
    </xf>
    <xf numFmtId="171" fontId="118" fillId="0" borderId="31">
      <alignment horizontal="right"/>
    </xf>
    <xf numFmtId="0" fontId="119" fillId="0" borderId="0">
      <alignment vertical="center"/>
    </xf>
    <xf numFmtId="239" fontId="119" fillId="0" borderId="0">
      <alignment horizontal="left" vertical="center"/>
    </xf>
    <xf numFmtId="240" fontId="120" fillId="0" borderId="0">
      <alignment vertical="center"/>
    </xf>
    <xf numFmtId="0" fontId="59" fillId="0" borderId="0">
      <alignment vertical="center"/>
    </xf>
    <xf numFmtId="171" fontId="118" fillId="0" borderId="31">
      <alignment horizontal="left"/>
    </xf>
    <xf numFmtId="15" fontId="3" fillId="0" borderId="0" applyFill="0" applyBorder="0" applyProtection="0">
      <alignment horizontal="center"/>
    </xf>
    <xf numFmtId="0" fontId="28" fillId="5" borderId="0" applyNumberFormat="0" applyFont="0" applyBorder="0" applyProtection="0"/>
    <xf numFmtId="241" fontId="121" fillId="16" borderId="32" applyProtection="0"/>
    <xf numFmtId="241" fontId="121" fillId="16" borderId="32" applyProtection="0"/>
    <xf numFmtId="0" fontId="122" fillId="0" borderId="0" applyNumberFormat="0" applyFill="0" applyBorder="0" applyProtection="0"/>
    <xf numFmtId="242" fontId="108" fillId="0" borderId="0" applyNumberFormat="0" applyFill="0" applyBorder="0" applyProtection="0"/>
    <xf numFmtId="171" fontId="123" fillId="0" borderId="0" applyFill="0" applyBorder="0">
      <alignment vertical="top"/>
    </xf>
    <xf numFmtId="171" fontId="112" fillId="0" borderId="0" applyFill="0" applyBorder="0" applyProtection="0">
      <alignment vertical="top"/>
    </xf>
    <xf numFmtId="171" fontId="124" fillId="0" borderId="0">
      <alignment vertical="top"/>
    </xf>
    <xf numFmtId="15" fontId="90" fillId="2" borderId="20">
      <alignment horizontal="center"/>
      <protection locked="0"/>
    </xf>
    <xf numFmtId="243" fontId="90" fillId="2" borderId="20">
      <protection locked="0"/>
    </xf>
    <xf numFmtId="242" fontId="90" fillId="2" borderId="20">
      <protection locked="0"/>
    </xf>
    <xf numFmtId="242" fontId="3" fillId="0" borderId="0" applyFill="0" applyBorder="0" applyProtection="0"/>
    <xf numFmtId="171" fontId="18" fillId="0" borderId="0">
      <alignment horizontal="center"/>
    </xf>
    <xf numFmtId="171" fontId="125" fillId="0" borderId="31">
      <alignment horizontal="center"/>
    </xf>
    <xf numFmtId="171" fontId="126" fillId="0" borderId="4">
      <alignment horizontal="center"/>
    </xf>
    <xf numFmtId="171" fontId="126" fillId="0" borderId="4">
      <alignment horizontal="center"/>
    </xf>
    <xf numFmtId="244" fontId="89" fillId="0" borderId="0" applyFill="0" applyBorder="0" applyProtection="0">
      <alignment horizontal="right" vertical="top"/>
    </xf>
    <xf numFmtId="164" fontId="18" fillId="0" borderId="31" applyFill="0" applyBorder="0" applyProtection="0">
      <alignment horizontal="right" vertical="top"/>
    </xf>
    <xf numFmtId="164" fontId="18" fillId="0" borderId="31" applyFill="0" applyBorder="0" applyProtection="0">
      <alignment horizontal="right" vertical="top"/>
    </xf>
    <xf numFmtId="243" fontId="3" fillId="0" borderId="0" applyFill="0" applyBorder="0" applyProtection="0"/>
    <xf numFmtId="245" fontId="3" fillId="0" borderId="0" applyFill="0" applyBorder="0" applyProtection="0"/>
    <xf numFmtId="239" fontId="57" fillId="0" borderId="0">
      <alignment horizontal="left" vertical="center"/>
    </xf>
    <xf numFmtId="171" fontId="57" fillId="0" borderId="0"/>
    <xf numFmtId="171" fontId="127" fillId="0" borderId="0"/>
    <xf numFmtId="171" fontId="128" fillId="0" borderId="0"/>
    <xf numFmtId="171" fontId="129" fillId="0" borderId="0"/>
    <xf numFmtId="171" fontId="3" fillId="0" borderId="0"/>
    <xf numFmtId="171" fontId="130" fillId="0" borderId="0">
      <alignment horizontal="left" vertical="top"/>
    </xf>
    <xf numFmtId="0" fontId="28" fillId="0" borderId="32" applyNumberFormat="0" applyFont="0" applyProtection="0"/>
    <xf numFmtId="0" fontId="18" fillId="0" borderId="0" applyFill="0" applyBorder="0">
      <alignment horizontal="left" vertical="top" wrapText="1"/>
    </xf>
    <xf numFmtId="0" fontId="18" fillId="0" borderId="0" applyFill="0" applyBorder="0">
      <alignment horizontal="left" vertical="top" wrapText="1"/>
    </xf>
    <xf numFmtId="0" fontId="131" fillId="0" borderId="0">
      <alignment horizontal="left" vertical="top" wrapText="1"/>
    </xf>
    <xf numFmtId="0" fontId="132" fillId="0" borderId="0">
      <alignment horizontal="left" vertical="top" wrapText="1"/>
    </xf>
    <xf numFmtId="0" fontId="113" fillId="0" borderId="0">
      <alignment horizontal="left" vertical="top" wrapText="1"/>
    </xf>
    <xf numFmtId="0" fontId="28" fillId="0" borderId="3" applyNumberFormat="0" applyFont="0" applyProtection="0"/>
    <xf numFmtId="0" fontId="28" fillId="14" borderId="0" applyNumberFormat="0" applyFont="0" applyBorder="0" applyProtection="0"/>
    <xf numFmtId="0" fontId="133" fillId="0" borderId="0">
      <protection locked="0"/>
    </xf>
    <xf numFmtId="0" fontId="134" fillId="0" borderId="0">
      <protection locked="0"/>
    </xf>
    <xf numFmtId="0" fontId="135" fillId="0" borderId="0">
      <protection locked="0"/>
    </xf>
    <xf numFmtId="0" fontId="19" fillId="0" borderId="0">
      <protection locked="0"/>
    </xf>
    <xf numFmtId="0" fontId="133" fillId="0" borderId="0">
      <protection locked="0"/>
    </xf>
    <xf numFmtId="0" fontId="134" fillId="0" borderId="0">
      <protection locked="0"/>
    </xf>
    <xf numFmtId="0" fontId="135" fillId="0" borderId="0">
      <protection locked="0"/>
    </xf>
    <xf numFmtId="246" fontId="3" fillId="0" borderId="0" applyFont="0" applyFill="0" applyBorder="0" applyProtection="0"/>
    <xf numFmtId="0" fontId="28" fillId="0" borderId="0"/>
    <xf numFmtId="39" fontId="21" fillId="38" borderId="5"/>
    <xf numFmtId="39" fontId="21" fillId="38" borderId="5"/>
    <xf numFmtId="43" fontId="136" fillId="0" borderId="0"/>
    <xf numFmtId="43" fontId="136" fillId="0" borderId="0"/>
    <xf numFmtId="40" fontId="3" fillId="0" borderId="0" applyNumberFormat="0">
      <alignment horizontal="right"/>
    </xf>
    <xf numFmtId="2" fontId="103" fillId="0" borderId="0" applyFont="0" applyFill="0" applyBorder="0" applyProtection="0"/>
    <xf numFmtId="176" fontId="1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138" fillId="0" borderId="0" applyFill="0" applyBorder="0" applyProtection="0">
      <alignment horizontal="left"/>
    </xf>
    <xf numFmtId="37" fontId="3" fillId="0" borderId="5"/>
    <xf numFmtId="37" fontId="3" fillId="0" borderId="5"/>
    <xf numFmtId="37" fontId="112" fillId="0" borderId="5"/>
    <xf numFmtId="37" fontId="112" fillId="0" borderId="5"/>
    <xf numFmtId="37" fontId="21" fillId="0" borderId="5"/>
    <xf numFmtId="247" fontId="21" fillId="0" borderId="5"/>
    <xf numFmtId="247" fontId="21" fillId="0" borderId="5"/>
    <xf numFmtId="223" fontId="90" fillId="0" borderId="0" applyNumberFormat="0" applyFill="0" applyBorder="0" applyProtection="0"/>
    <xf numFmtId="0" fontId="28" fillId="0" borderId="0" applyFont="0" applyFill="0" applyBorder="0" applyProtection="0"/>
    <xf numFmtId="0" fontId="65" fillId="0" borderId="5" applyNumberFormat="0">
      <alignment horizontal="right"/>
      <protection locked="0"/>
    </xf>
    <xf numFmtId="0" fontId="65" fillId="0" borderId="5" applyNumberFormat="0">
      <alignment horizontal="right"/>
      <protection locked="0"/>
    </xf>
    <xf numFmtId="0" fontId="80" fillId="6" borderId="0" applyNumberFormat="0" applyBorder="0" applyProtection="0"/>
    <xf numFmtId="0" fontId="80" fillId="6" borderId="0" applyNumberFormat="0" applyBorder="0" applyProtection="0"/>
    <xf numFmtId="0" fontId="80" fillId="6" borderId="0" applyNumberFormat="0" applyBorder="0" applyProtection="0"/>
    <xf numFmtId="0" fontId="139" fillId="6" borderId="33"/>
    <xf numFmtId="38" fontId="65" fillId="16" borderId="0" applyNumberFormat="0" applyBorder="0" applyProtection="0"/>
    <xf numFmtId="0" fontId="140" fillId="0" borderId="0">
      <alignment horizontal="left" vertical="top"/>
    </xf>
    <xf numFmtId="247" fontId="3" fillId="6" borderId="5" applyNumberFormat="0" applyFont="0" applyBorder="0" applyProtection="0"/>
    <xf numFmtId="247" fontId="3" fillId="6" borderId="5" applyNumberFormat="0" applyFont="0" applyBorder="0" applyProtection="0"/>
    <xf numFmtId="0" fontId="95" fillId="0" borderId="0" applyFont="0" applyFill="0" applyBorder="0" applyProtection="0">
      <alignment horizontal="right"/>
    </xf>
    <xf numFmtId="167" fontId="141" fillId="6" borderId="0" applyNumberFormat="0" applyFont="0"/>
    <xf numFmtId="0" fontId="142" fillId="0" borderId="0" applyProtection="0">
      <alignment horizontal="right"/>
    </xf>
    <xf numFmtId="0" fontId="58" fillId="0" borderId="34" applyNumberFormat="0" applyProtection="0">
      <alignment horizontal="left" vertical="center"/>
    </xf>
    <xf numFmtId="0" fontId="58" fillId="0" borderId="32">
      <alignment horizontal="left" vertical="center"/>
    </xf>
    <xf numFmtId="0" fontId="58" fillId="0" borderId="32">
      <alignment horizontal="left" vertical="center"/>
    </xf>
    <xf numFmtId="14" fontId="91" fillId="8" borderId="27">
      <alignment horizontal="center" vertical="center" wrapText="1"/>
    </xf>
    <xf numFmtId="0" fontId="47" fillId="0" borderId="12" applyNumberFormat="0" applyFill="0" applyProtection="0"/>
    <xf numFmtId="0" fontId="143" fillId="0" borderId="35" applyNumberFormat="0" applyFill="0" applyProtection="0"/>
    <xf numFmtId="0" fontId="144" fillId="0" borderId="0" applyNumberFormat="0" applyFill="0" applyBorder="0" applyProtection="0"/>
    <xf numFmtId="0" fontId="145" fillId="0" borderId="12" applyNumberFormat="0" applyFill="0" applyProtection="0"/>
    <xf numFmtId="0" fontId="48" fillId="0" borderId="13" applyNumberFormat="0" applyFill="0" applyProtection="0"/>
    <xf numFmtId="0" fontId="146" fillId="0" borderId="13" applyNumberFormat="0" applyFill="0" applyProtection="0"/>
    <xf numFmtId="0" fontId="147" fillId="0" borderId="0" applyNumberFormat="0" applyFill="0" applyBorder="0" applyProtection="0"/>
    <xf numFmtId="0" fontId="148" fillId="0" borderId="13" applyNumberFormat="0" applyFill="0" applyProtection="0"/>
    <xf numFmtId="0" fontId="49" fillId="0" borderId="14" applyNumberFormat="0" applyFill="0" applyProtection="0"/>
    <xf numFmtId="0" fontId="149" fillId="0" borderId="36" applyNumberFormat="0" applyFill="0" applyProtection="0"/>
    <xf numFmtId="0" fontId="150" fillId="0" borderId="0" applyProtection="0">
      <alignment horizontal="left"/>
    </xf>
    <xf numFmtId="0" fontId="151" fillId="0" borderId="14" applyNumberFormat="0" applyFill="0" applyProtection="0"/>
    <xf numFmtId="0" fontId="49" fillId="0" borderId="0" applyNumberFormat="0" applyFill="0" applyBorder="0" applyProtection="0"/>
    <xf numFmtId="0" fontId="149" fillId="0" borderId="0" applyNumberFormat="0" applyFill="0" applyBorder="0" applyProtection="0"/>
    <xf numFmtId="0" fontId="49" fillId="0" borderId="0" applyNumberFormat="0" applyFill="0" applyBorder="0" applyProtection="0"/>
    <xf numFmtId="37" fontId="152" fillId="0" borderId="0"/>
    <xf numFmtId="0" fontId="91" fillId="0" borderId="0" applyFill="0" applyProtection="0">
      <protection locked="0"/>
    </xf>
    <xf numFmtId="0" fontId="91" fillId="0" borderId="37" applyFill="0" applyProtection="0">
      <protection locked="0"/>
    </xf>
    <xf numFmtId="2" fontId="153" fillId="39" borderId="0">
      <alignment horizontal="right"/>
      <protection locked="0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55" fillId="40" borderId="0"/>
    <xf numFmtId="0" fontId="156" fillId="41" borderId="0"/>
    <xf numFmtId="0" fontId="157" fillId="0" borderId="0"/>
    <xf numFmtId="0" fontId="3" fillId="0" borderId="0"/>
    <xf numFmtId="0" fontId="3" fillId="0" borderId="0"/>
    <xf numFmtId="37" fontId="158" fillId="10" borderId="6"/>
    <xf numFmtId="0" fontId="159" fillId="0" borderId="0" applyNumberFormat="0" applyFill="0" applyBorder="0" applyProtection="0">
      <alignment vertical="top"/>
      <protection locked="0"/>
    </xf>
    <xf numFmtId="0" fontId="160" fillId="0" borderId="0" applyNumberFormat="0" applyFill="0" applyBorder="0" applyProtection="0">
      <alignment vertical="top"/>
      <protection locked="0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161" fillId="0" borderId="0" applyNumberFormat="0" applyFill="0" applyBorder="0" applyProtection="0">
      <alignment vertical="top"/>
      <protection locked="0"/>
    </xf>
    <xf numFmtId="0" fontId="161" fillId="0" borderId="0" applyNumberFormat="0" applyFill="0" applyBorder="0" applyProtection="0">
      <alignment vertical="top"/>
      <protection locked="0"/>
    </xf>
    <xf numFmtId="0" fontId="161" fillId="0" borderId="0" applyNumberFormat="0" applyFill="0" applyBorder="0" applyProtection="0">
      <alignment vertical="top"/>
      <protection locked="0"/>
    </xf>
    <xf numFmtId="0" fontId="162" fillId="0" borderId="0" applyNumberFormat="0" applyFill="0" applyBorder="0" applyProtection="0">
      <alignment vertical="top"/>
      <protection locked="0"/>
    </xf>
    <xf numFmtId="0" fontId="81" fillId="0" borderId="0" applyNumberFormat="0" applyFill="0" applyBorder="0" applyProtection="0">
      <alignment vertical="top"/>
      <protection locked="0"/>
    </xf>
    <xf numFmtId="0" fontId="8" fillId="0" borderId="0"/>
    <xf numFmtId="0" fontId="8" fillId="0" borderId="0"/>
    <xf numFmtId="4" fontId="3" fillId="0" borderId="0" applyFont="0" applyFill="0" applyBorder="0" applyProtection="0"/>
    <xf numFmtId="4" fontId="3" fillId="0" borderId="0" applyFont="0" applyFill="0" applyBorder="0" applyProtection="0"/>
    <xf numFmtId="4" fontId="3" fillId="0" borderId="0" applyFont="0" applyFill="0" applyBorder="0" applyProtection="0"/>
    <xf numFmtId="10" fontId="18" fillId="2" borderId="5">
      <alignment horizontal="right" vertical="center"/>
    </xf>
    <xf numFmtId="10" fontId="18" fillId="2" borderId="5">
      <alignment horizontal="right" vertical="center"/>
    </xf>
    <xf numFmtId="168" fontId="18" fillId="2" borderId="5">
      <alignment horizontal="right" vertical="top"/>
    </xf>
    <xf numFmtId="168" fontId="18" fillId="2" borderId="5">
      <alignment horizontal="right" vertical="top"/>
    </xf>
    <xf numFmtId="167" fontId="18" fillId="2" borderId="5">
      <alignment horizontal="right" vertical="top"/>
    </xf>
    <xf numFmtId="167" fontId="18" fillId="2" borderId="5">
      <alignment horizontal="right" vertical="top"/>
    </xf>
    <xf numFmtId="39" fontId="18" fillId="2" borderId="5">
      <alignment horizontal="right" vertical="top"/>
    </xf>
    <xf numFmtId="39" fontId="18" fillId="2" borderId="5">
      <alignment horizontal="right" vertical="top"/>
    </xf>
    <xf numFmtId="204" fontId="18" fillId="2" borderId="5"/>
    <xf numFmtId="204" fontId="18" fillId="2" borderId="5"/>
    <xf numFmtId="248" fontId="163" fillId="0" borderId="5">
      <alignment horizontal="center" vertical="center" wrapText="1"/>
    </xf>
    <xf numFmtId="248" fontId="163" fillId="0" borderId="5">
      <alignment horizontal="center" vertical="center" wrapText="1"/>
    </xf>
    <xf numFmtId="0" fontId="29" fillId="9" borderId="9" applyNumberFormat="0" applyProtection="0"/>
    <xf numFmtId="10" fontId="65" fillId="11" borderId="5" applyNumberFormat="0" applyBorder="0" applyProtection="0"/>
    <xf numFmtId="10" fontId="65" fillId="11" borderId="5" applyNumberFormat="0" applyBorder="0" applyProtection="0"/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29" fillId="9" borderId="9" applyNumberFormat="0" applyProtection="0"/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3" fontId="18" fillId="2" borderId="0"/>
    <xf numFmtId="0" fontId="3" fillId="2" borderId="5" applyNumberFormat="0" applyFont="0">
      <protection locked="0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164" fillId="0" borderId="0" applyFill="0" applyBorder="0" applyProtection="0">
      <alignment vertical="center"/>
    </xf>
    <xf numFmtId="0" fontId="21" fillId="0" borderId="0"/>
    <xf numFmtId="0" fontId="165" fillId="0" borderId="0"/>
    <xf numFmtId="0" fontId="166" fillId="0" borderId="0" applyNumberFormat="0" applyFill="0" applyBorder="0" applyProtection="0">
      <alignment vertical="top"/>
      <protection locked="0"/>
    </xf>
    <xf numFmtId="0" fontId="167" fillId="0" borderId="0">
      <alignment vertical="center"/>
    </xf>
    <xf numFmtId="0" fontId="28" fillId="0" borderId="0"/>
    <xf numFmtId="0" fontId="168" fillId="0" borderId="0"/>
    <xf numFmtId="0" fontId="21" fillId="0" borderId="0"/>
    <xf numFmtId="0" fontId="169" fillId="0" borderId="0">
      <alignment horizontal="right"/>
    </xf>
    <xf numFmtId="38" fontId="170" fillId="0" borderId="0"/>
    <xf numFmtId="38" fontId="170" fillId="0" borderId="0"/>
    <xf numFmtId="38" fontId="171" fillId="0" borderId="0"/>
    <xf numFmtId="38" fontId="171" fillId="0" borderId="0"/>
    <xf numFmtId="38" fontId="172" fillId="0" borderId="0"/>
    <xf numFmtId="38" fontId="172" fillId="0" borderId="0"/>
    <xf numFmtId="38" fontId="173" fillId="0" borderId="0"/>
    <xf numFmtId="38" fontId="173" fillId="0" borderId="0"/>
    <xf numFmtId="0" fontId="174" fillId="0" borderId="0"/>
    <xf numFmtId="0" fontId="174" fillId="0" borderId="0"/>
    <xf numFmtId="0" fontId="174" fillId="0" borderId="0"/>
    <xf numFmtId="0" fontId="174" fillId="0" borderId="0"/>
    <xf numFmtId="0" fontId="174" fillId="0" borderId="0"/>
    <xf numFmtId="10" fontId="175" fillId="10" borderId="0">
      <alignment horizontal="center" vertical="center"/>
    </xf>
    <xf numFmtId="168" fontId="176" fillId="0" borderId="0">
      <alignment horizontal="right" vertical="top"/>
    </xf>
    <xf numFmtId="167" fontId="176" fillId="0" borderId="0">
      <alignment horizontal="right" vertical="top"/>
    </xf>
    <xf numFmtId="172" fontId="18" fillId="0" borderId="0"/>
    <xf numFmtId="204" fontId="176" fillId="0" borderId="0"/>
    <xf numFmtId="39" fontId="109" fillId="2" borderId="20"/>
    <xf numFmtId="37" fontId="177" fillId="0" borderId="5"/>
    <xf numFmtId="37" fontId="177" fillId="0" borderId="5"/>
    <xf numFmtId="198" fontId="89" fillId="0" borderId="0" applyFill="0" applyBorder="0"/>
    <xf numFmtId="176" fontId="89" fillId="0" borderId="0" applyFill="0" applyBorder="0"/>
    <xf numFmtId="198" fontId="89" fillId="0" borderId="0" applyFill="0" applyBorder="0"/>
    <xf numFmtId="199" fontId="89" fillId="0" borderId="0" applyFill="0" applyBorder="0"/>
    <xf numFmtId="176" fontId="89" fillId="0" borderId="0" applyFill="0" applyBorder="0"/>
    <xf numFmtId="37" fontId="21" fillId="0" borderId="20"/>
    <xf numFmtId="0" fontId="73" fillId="0" borderId="19" applyNumberFormat="0" applyFill="0" applyProtection="0"/>
    <xf numFmtId="0" fontId="73" fillId="0" borderId="19" applyNumberFormat="0" applyFill="0" applyProtection="0"/>
    <xf numFmtId="0" fontId="73" fillId="0" borderId="19" applyNumberFormat="0" applyFill="0" applyProtection="0"/>
    <xf numFmtId="37" fontId="21" fillId="0" borderId="20"/>
    <xf numFmtId="37" fontId="21" fillId="0" borderId="20"/>
    <xf numFmtId="1" fontId="178" fillId="0" borderId="5">
      <alignment horizontal="center" vertical="center"/>
    </xf>
    <xf numFmtId="1" fontId="178" fillId="0" borderId="5">
      <alignment horizontal="center" vertical="center"/>
    </xf>
    <xf numFmtId="0" fontId="3" fillId="16" borderId="0"/>
    <xf numFmtId="0" fontId="19" fillId="0" borderId="0">
      <protection locked="0"/>
    </xf>
    <xf numFmtId="0" fontId="27" fillId="0" borderId="1">
      <alignment horizontal="left"/>
      <protection locked="0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249" fontId="5" fillId="0" borderId="0" applyFont="0" applyFill="0" applyBorder="0" applyProtection="0"/>
    <xf numFmtId="250" fontId="28" fillId="0" borderId="0" applyFont="0" applyFill="0" applyBorder="0" applyProtection="0"/>
    <xf numFmtId="41" fontId="3" fillId="0" borderId="0" applyFont="0" applyFill="0" applyBorder="0" applyProtection="0"/>
    <xf numFmtId="43" fontId="3" fillId="0" borderId="0" applyFont="0" applyFill="0" applyBorder="0" applyProtection="0"/>
    <xf numFmtId="0" fontId="3" fillId="0" borderId="0" applyFont="0" applyFill="0" applyBorder="0" applyProtection="0"/>
    <xf numFmtId="4" fontId="3" fillId="0" borderId="0" applyFont="0" applyFill="0" applyBorder="0" applyProtection="0"/>
    <xf numFmtId="251" fontId="179" fillId="0" borderId="0" applyFont="0" applyFill="0" applyBorder="0" applyProtection="0"/>
    <xf numFmtId="252" fontId="179" fillId="0" borderId="0" applyFont="0" applyFill="0" applyBorder="0" applyProtection="0"/>
    <xf numFmtId="253" fontId="3" fillId="0" borderId="0" applyFont="0" applyFill="0" applyBorder="0" applyProtection="0"/>
    <xf numFmtId="216" fontId="3" fillId="0" borderId="0" applyFont="0" applyFill="0" applyBorder="0" applyProtection="0"/>
    <xf numFmtId="254" fontId="3" fillId="0" borderId="0" applyFont="0" applyFill="0" applyBorder="0" applyProtection="0"/>
    <xf numFmtId="255" fontId="179" fillId="0" borderId="0" applyFont="0" applyFill="0" applyBorder="0" applyProtection="0"/>
    <xf numFmtId="256" fontId="3" fillId="0" borderId="0" applyFont="0" applyFill="0" applyBorder="0" applyProtection="0"/>
    <xf numFmtId="195" fontId="3" fillId="0" borderId="0" applyFont="0" applyFill="0" applyBorder="0" applyProtection="0"/>
    <xf numFmtId="189" fontId="179" fillId="0" borderId="0" applyFont="0" applyFill="0" applyBorder="0" applyProtection="0"/>
    <xf numFmtId="0" fontId="95" fillId="0" borderId="0" applyFont="0" applyFill="0" applyBorder="0" applyProtection="0">
      <alignment horizontal="right"/>
    </xf>
    <xf numFmtId="0" fontId="95" fillId="0" borderId="0" applyFill="0" applyBorder="0" applyProtection="0">
      <alignment vertical="center"/>
    </xf>
    <xf numFmtId="0" fontId="95" fillId="0" borderId="0" applyFont="0" applyFill="0" applyBorder="0" applyProtection="0">
      <alignment horizontal="right"/>
    </xf>
    <xf numFmtId="0" fontId="180" fillId="0" borderId="0">
      <protection locked="0"/>
    </xf>
    <xf numFmtId="0" fontId="181" fillId="0" borderId="0">
      <protection locked="0"/>
    </xf>
    <xf numFmtId="0" fontId="6" fillId="0" borderId="0"/>
    <xf numFmtId="0" fontId="62" fillId="2" borderId="0" applyNumberFormat="0" applyBorder="0" applyProtection="0"/>
    <xf numFmtId="0" fontId="62" fillId="2" borderId="0" applyNumberFormat="0" applyBorder="0" applyProtection="0"/>
    <xf numFmtId="0" fontId="62" fillId="2" borderId="0" applyNumberFormat="0" applyBorder="0" applyProtection="0"/>
    <xf numFmtId="0" fontId="182" fillId="21" borderId="0"/>
    <xf numFmtId="0" fontId="183" fillId="42" borderId="0"/>
    <xf numFmtId="0" fontId="184" fillId="0" borderId="0"/>
    <xf numFmtId="37" fontId="18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" fontId="186" fillId="0" borderId="0" applyProtection="0"/>
    <xf numFmtId="0" fontId="4" fillId="0" borderId="0"/>
    <xf numFmtId="0" fontId="4" fillId="0" borderId="0"/>
    <xf numFmtId="0" fontId="5" fillId="0" borderId="20"/>
    <xf numFmtId="0" fontId="3" fillId="0" borderId="0"/>
    <xf numFmtId="257" fontId="8" fillId="0" borderId="0"/>
    <xf numFmtId="257" fontId="8" fillId="0" borderId="0"/>
    <xf numFmtId="0" fontId="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65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3" fillId="0" borderId="0"/>
    <xf numFmtId="0" fontId="23" fillId="0" borderId="0"/>
    <xf numFmtId="0" fontId="174" fillId="0" borderId="0"/>
    <xf numFmtId="0" fontId="174" fillId="0" borderId="0"/>
    <xf numFmtId="0" fontId="65" fillId="0" borderId="0"/>
    <xf numFmtId="0" fontId="28" fillId="0" borderId="0"/>
    <xf numFmtId="0" fontId="28" fillId="0" borderId="0"/>
    <xf numFmtId="0" fontId="2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4" fillId="0" borderId="0"/>
    <xf numFmtId="0" fontId="174" fillId="0" borderId="0"/>
    <xf numFmtId="0" fontId="174" fillId="0" borderId="0"/>
    <xf numFmtId="0" fontId="3" fillId="0" borderId="0"/>
    <xf numFmtId="0" fontId="3" fillId="0" borderId="0"/>
    <xf numFmtId="0" fontId="3" fillId="0" borderId="0"/>
    <xf numFmtId="0" fontId="174" fillId="0" borderId="0"/>
    <xf numFmtId="0" fontId="174" fillId="0" borderId="0"/>
    <xf numFmtId="0" fontId="174" fillId="0" borderId="0"/>
    <xf numFmtId="0" fontId="174" fillId="0" borderId="0"/>
    <xf numFmtId="0" fontId="174" fillId="0" borderId="0"/>
    <xf numFmtId="0" fontId="267" fillId="0" borderId="0"/>
    <xf numFmtId="0" fontId="3" fillId="0" borderId="0"/>
    <xf numFmtId="0" fontId="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26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8" fillId="0" borderId="0"/>
    <xf numFmtId="0" fontId="3" fillId="0" borderId="0"/>
    <xf numFmtId="0" fontId="65" fillId="0" borderId="0">
      <alignment horizontal="left"/>
    </xf>
    <xf numFmtId="0" fontId="8" fillId="0" borderId="0"/>
    <xf numFmtId="0" fontId="3" fillId="0" borderId="0"/>
    <xf numFmtId="0" fontId="27" fillId="0" borderId="0"/>
    <xf numFmtId="0" fontId="95" fillId="0" borderId="0" applyFill="0" applyBorder="0" applyProtection="0">
      <alignment vertical="center"/>
    </xf>
    <xf numFmtId="0" fontId="28" fillId="0" borderId="0"/>
    <xf numFmtId="0" fontId="189" fillId="0" borderId="0"/>
    <xf numFmtId="0" fontId="3" fillId="0" borderId="0"/>
    <xf numFmtId="0" fontId="28" fillId="0" borderId="0"/>
    <xf numFmtId="0" fontId="190" fillId="0" borderId="0"/>
    <xf numFmtId="0" fontId="23" fillId="11" borderId="18" applyNumberFormat="0" applyFont="0" applyProtection="0"/>
    <xf numFmtId="0" fontId="191" fillId="11" borderId="18" applyNumberFormat="0" applyFont="0" applyProtection="0"/>
    <xf numFmtId="0" fontId="191" fillId="11" borderId="18" applyNumberFormat="0" applyFont="0" applyProtection="0"/>
    <xf numFmtId="0" fontId="191" fillId="11" borderId="18" applyNumberFormat="0" applyFont="0" applyProtection="0"/>
    <xf numFmtId="0" fontId="3" fillId="0" borderId="0"/>
    <xf numFmtId="0" fontId="191" fillId="11" borderId="18" applyNumberFormat="0" applyFont="0" applyProtection="0"/>
    <xf numFmtId="0" fontId="3" fillId="0" borderId="0"/>
    <xf numFmtId="0" fontId="3" fillId="0" borderId="0"/>
    <xf numFmtId="0" fontId="23" fillId="11" borderId="18" applyNumberFormat="0" applyFont="0" applyProtection="0"/>
    <xf numFmtId="0" fontId="3" fillId="11" borderId="18" applyNumberFormat="0" applyFont="0" applyProtection="0"/>
    <xf numFmtId="258" fontId="8" fillId="0" borderId="0" applyFont="0" applyFill="0" applyBorder="0" applyProtection="0"/>
    <xf numFmtId="259" fontId="8" fillId="0" borderId="0" applyFont="0" applyFill="0" applyBorder="0" applyProtection="0"/>
    <xf numFmtId="258" fontId="7" fillId="0" borderId="0" applyFont="0" applyFill="0" applyBorder="0" applyProtection="0"/>
    <xf numFmtId="259" fontId="7" fillId="0" borderId="0" applyFont="0" applyFill="0" applyBorder="0" applyProtection="0"/>
    <xf numFmtId="210" fontId="3" fillId="0" borderId="0" applyFont="0" applyFill="0" applyBorder="0" applyProtection="0"/>
    <xf numFmtId="260" fontId="71" fillId="0" borderId="0" applyFont="0" applyFill="0" applyBorder="0" applyProtection="0"/>
    <xf numFmtId="261" fontId="3" fillId="0" borderId="0" applyFont="0" applyFill="0" applyBorder="0" applyProtection="0"/>
    <xf numFmtId="262" fontId="71" fillId="0" borderId="0" applyFont="0" applyFill="0" applyBorder="0" applyProtection="0"/>
    <xf numFmtId="37" fontId="109" fillId="5" borderId="20">
      <alignment vertical="top" wrapText="1"/>
      <protection locked="0"/>
    </xf>
    <xf numFmtId="0" fontId="3" fillId="0" borderId="0"/>
    <xf numFmtId="263" fontId="27" fillId="0" borderId="0">
      <alignment horizontal="left"/>
    </xf>
    <xf numFmtId="0" fontId="3" fillId="0" borderId="0"/>
    <xf numFmtId="263" fontId="27" fillId="0" borderId="0">
      <alignment horizontal="left"/>
    </xf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3" fillId="0" borderId="0"/>
    <xf numFmtId="264" fontId="8" fillId="0" borderId="0" applyFont="0" applyFill="0" applyBorder="0" applyProtection="0"/>
    <xf numFmtId="0" fontId="8" fillId="0" borderId="0" applyFont="0" applyFill="0" applyBorder="0" applyProtection="0"/>
    <xf numFmtId="265" fontId="3" fillId="0" borderId="0" applyFont="0" applyFill="0" applyBorder="0" applyProtection="0"/>
    <xf numFmtId="266" fontId="3" fillId="0" borderId="0" applyFont="0" applyFill="0" applyBorder="0" applyProtection="0"/>
    <xf numFmtId="0" fontId="33" fillId="16" borderId="10" applyNumberFormat="0" applyProtection="0"/>
    <xf numFmtId="0" fontId="33" fillId="10" borderId="10" applyNumberFormat="0" applyProtection="0"/>
    <xf numFmtId="0" fontId="33" fillId="10" borderId="10" applyNumberFormat="0" applyProtection="0"/>
    <xf numFmtId="0" fontId="33" fillId="16" borderId="10" applyNumberFormat="0" applyProtection="0"/>
    <xf numFmtId="0" fontId="33" fillId="16" borderId="10" applyNumberFormat="0" applyProtection="0"/>
    <xf numFmtId="267" fontId="194" fillId="0" borderId="38">
      <protection locked="0"/>
    </xf>
    <xf numFmtId="0" fontId="195" fillId="0" borderId="0"/>
    <xf numFmtId="0" fontId="195" fillId="0" borderId="0"/>
    <xf numFmtId="1" fontId="196" fillId="0" borderId="0" applyProtection="0">
      <alignment horizontal="right" vertical="center"/>
    </xf>
    <xf numFmtId="0" fontId="27" fillId="0" borderId="0">
      <alignment horizontal="center"/>
    </xf>
    <xf numFmtId="49" fontId="197" fillId="0" borderId="37" applyFill="0" applyProtection="0">
      <alignment vertical="center"/>
    </xf>
    <xf numFmtId="0" fontId="198" fillId="0" borderId="0"/>
    <xf numFmtId="0" fontId="4" fillId="0" borderId="0"/>
    <xf numFmtId="0" fontId="198" fillId="0" borderId="0"/>
    <xf numFmtId="0" fontId="4" fillId="0" borderId="0"/>
    <xf numFmtId="176" fontId="199" fillId="0" borderId="0"/>
    <xf numFmtId="268" fontId="3" fillId="0" borderId="0" applyFont="0" applyFill="0" applyBorder="0" applyProtection="0"/>
    <xf numFmtId="268" fontId="3" fillId="0" borderId="0" applyFont="0" applyFill="0" applyBorder="0" applyProtection="0"/>
    <xf numFmtId="268" fontId="3" fillId="0" borderId="0" applyFont="0" applyFill="0" applyBorder="0" applyProtection="0"/>
    <xf numFmtId="197" fontId="89" fillId="0" borderId="0" applyFont="0" applyFill="0" applyBorder="0" applyProtection="0"/>
    <xf numFmtId="269" fontId="89" fillId="0" borderId="0" applyFont="0" applyFill="0" applyBorder="0" applyProtection="0"/>
    <xf numFmtId="10" fontId="3" fillId="0" borderId="0" applyFont="0" applyFill="0" applyBorder="0" applyProtection="0"/>
    <xf numFmtId="270" fontId="3" fillId="0" borderId="0" applyFont="0" applyFill="0" applyBorder="0" applyProtection="0"/>
    <xf numFmtId="270" fontId="3" fillId="0" borderId="0" applyFont="0" applyFill="0" applyBorder="0" applyProtection="0"/>
    <xf numFmtId="270" fontId="3" fillId="0" borderId="0" applyFont="0" applyFill="0" applyBorder="0" applyProtection="0"/>
    <xf numFmtId="271" fontId="3" fillId="0" borderId="0" applyFont="0" applyFill="0" applyBorder="0" applyProtection="0"/>
    <xf numFmtId="271" fontId="3" fillId="0" borderId="0" applyFont="0" applyFill="0" applyBorder="0" applyProtection="0"/>
    <xf numFmtId="271" fontId="3" fillId="0" borderId="0" applyFont="0" applyFill="0" applyBorder="0" applyProtection="0"/>
    <xf numFmtId="272" fontId="3" fillId="0" borderId="0" applyFont="0" applyFill="0" applyBorder="0" applyProtection="0"/>
    <xf numFmtId="272" fontId="3" fillId="0" borderId="0" applyFont="0" applyFill="0" applyBorder="0" applyProtection="0"/>
    <xf numFmtId="272" fontId="3" fillId="0" borderId="0" applyFont="0" applyFill="0" applyBorder="0" applyProtection="0"/>
    <xf numFmtId="273" fontId="3" fillId="0" borderId="0" applyFont="0" applyFill="0" applyBorder="0" applyProtection="0"/>
    <xf numFmtId="273" fontId="3" fillId="0" borderId="0" applyFont="0" applyFill="0" applyBorder="0" applyProtection="0"/>
    <xf numFmtId="273" fontId="3" fillId="0" borderId="0" applyFont="0" applyFill="0" applyBorder="0" applyProtection="0"/>
    <xf numFmtId="274" fontId="3" fillId="0" borderId="0" applyFont="0" applyFill="0" applyBorder="0" applyProtection="0"/>
    <xf numFmtId="274" fontId="3" fillId="0" borderId="0" applyFont="0" applyFill="0" applyBorder="0" applyProtection="0"/>
    <xf numFmtId="274" fontId="3" fillId="0" borderId="0" applyFont="0" applyFill="0" applyBorder="0" applyProtection="0"/>
    <xf numFmtId="275" fontId="3" fillId="0" borderId="0" applyFont="0" applyFill="0" applyBorder="0" applyProtection="0"/>
    <xf numFmtId="275" fontId="3" fillId="0" borderId="0" applyFont="0" applyFill="0" applyBorder="0" applyProtection="0"/>
    <xf numFmtId="275" fontId="3" fillId="0" borderId="0" applyFont="0" applyFill="0" applyBorder="0" applyProtection="0"/>
    <xf numFmtId="276" fontId="3" fillId="0" borderId="0" applyFont="0" applyFill="0" applyBorder="0" applyProtection="0"/>
    <xf numFmtId="276" fontId="3" fillId="0" borderId="0" applyFont="0" applyFill="0" applyBorder="0" applyProtection="0"/>
    <xf numFmtId="276" fontId="3" fillId="0" borderId="0" applyFont="0" applyFill="0" applyBorder="0" applyProtection="0"/>
    <xf numFmtId="277" fontId="3" fillId="0" borderId="0" applyFont="0" applyFill="0" applyBorder="0" applyProtection="0"/>
    <xf numFmtId="277" fontId="3" fillId="0" borderId="0" applyFont="0" applyFill="0" applyBorder="0" applyProtection="0"/>
    <xf numFmtId="277" fontId="3" fillId="0" borderId="0" applyFont="0" applyFill="0" applyBorder="0" applyProtection="0"/>
    <xf numFmtId="9" fontId="28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1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3" fillId="0" borderId="0" applyFont="0" applyFill="0" applyBorder="0" applyProtection="0"/>
    <xf numFmtId="9" fontId="23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8" fillId="0" borderId="0" applyFont="0" applyFill="0" applyBorder="0" applyProtection="0"/>
    <xf numFmtId="9" fontId="28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3" fillId="0" borderId="0" applyFont="0" applyFill="0" applyBorder="0" applyProtection="0"/>
    <xf numFmtId="9" fontId="28" fillId="0" borderId="0" applyFont="0" applyFill="0" applyBorder="0" applyProtection="0"/>
    <xf numFmtId="9" fontId="3" fillId="0" borderId="0" applyFont="0" applyFill="0" applyBorder="0" applyProtection="0"/>
    <xf numFmtId="0" fontId="95" fillId="0" borderId="0" applyFill="0" applyBorder="0" applyProtection="0">
      <alignment vertical="center"/>
    </xf>
    <xf numFmtId="0" fontId="200" fillId="0" borderId="0"/>
    <xf numFmtId="0" fontId="19" fillId="0" borderId="0">
      <protection locked="0"/>
    </xf>
    <xf numFmtId="0" fontId="3" fillId="0" borderId="0">
      <protection locked="0"/>
    </xf>
    <xf numFmtId="0" fontId="201" fillId="0" borderId="0">
      <protection locked="0"/>
    </xf>
    <xf numFmtId="0" fontId="3" fillId="0" borderId="0">
      <protection locked="0"/>
    </xf>
    <xf numFmtId="0" fontId="91" fillId="0" borderId="0">
      <protection locked="0"/>
    </xf>
    <xf numFmtId="37" fontId="202" fillId="2" borderId="39"/>
    <xf numFmtId="37" fontId="202" fillId="2" borderId="39"/>
    <xf numFmtId="9" fontId="3" fillId="0" borderId="0" applyNumberFormat="0" applyFont="0" applyFill="0" applyBorder="0" applyProtection="0"/>
    <xf numFmtId="198" fontId="89" fillId="0" borderId="0" applyFill="0" applyBorder="0"/>
    <xf numFmtId="176" fontId="89" fillId="0" borderId="0" applyFill="0" applyBorder="0"/>
    <xf numFmtId="198" fontId="89" fillId="0" borderId="0" applyFill="0" applyBorder="0"/>
    <xf numFmtId="199" fontId="89" fillId="0" borderId="0" applyFill="0" applyBorder="0"/>
    <xf numFmtId="176" fontId="89" fillId="0" borderId="0" applyFill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78" fontId="189" fillId="0" borderId="0" applyFont="0" applyFill="0" applyBorder="0" applyProtection="0"/>
    <xf numFmtId="0" fontId="3" fillId="0" borderId="0"/>
    <xf numFmtId="0" fontId="19" fillId="0" borderId="0">
      <protection locked="0"/>
    </xf>
    <xf numFmtId="279" fontId="91" fillId="10" borderId="0" applyFont="0" applyFill="0" applyBorder="0" applyProtection="0">
      <alignment horizontal="right" vertical="center"/>
    </xf>
    <xf numFmtId="39" fontId="203" fillId="0" borderId="0" applyNumberFormat="0">
      <alignment horizontal="right"/>
    </xf>
    <xf numFmtId="0" fontId="90" fillId="0" borderId="5" applyNumberFormat="0" applyProtection="0"/>
    <xf numFmtId="0" fontId="90" fillId="0" borderId="5" applyNumberFormat="0" applyProtection="0"/>
    <xf numFmtId="280" fontId="3" fillId="0" borderId="40" applyBorder="0">
      <alignment horizontal="right"/>
    </xf>
    <xf numFmtId="280" fontId="3" fillId="0" borderId="40" applyBorder="0">
      <alignment horizontal="right"/>
    </xf>
    <xf numFmtId="0" fontId="204" fillId="0" borderId="41">
      <alignment vertical="center"/>
    </xf>
    <xf numFmtId="0" fontId="204" fillId="0" borderId="41">
      <alignment vertical="center"/>
    </xf>
    <xf numFmtId="0" fontId="204" fillId="0" borderId="41">
      <alignment vertical="center"/>
    </xf>
    <xf numFmtId="4" fontId="3" fillId="2" borderId="10" applyNumberFormat="0" applyProtection="0">
      <alignment vertical="center"/>
    </xf>
    <xf numFmtId="4" fontId="3" fillId="2" borderId="10" applyNumberFormat="0" applyProtection="0">
      <alignment vertical="center"/>
    </xf>
    <xf numFmtId="4" fontId="90" fillId="2" borderId="10" applyNumberFormat="0" applyProtection="0">
      <alignment vertical="center"/>
    </xf>
    <xf numFmtId="4" fontId="90" fillId="2" borderId="10" applyNumberFormat="0" applyProtection="0">
      <alignment vertical="center"/>
    </xf>
    <xf numFmtId="4" fontId="3" fillId="2" borderId="10" applyNumberFormat="0" applyProtection="0">
      <alignment horizontal="left" vertical="center" indent="1"/>
    </xf>
    <xf numFmtId="4" fontId="3" fillId="2" borderId="10" applyNumberFormat="0" applyProtection="0">
      <alignment horizontal="left" vertical="center" indent="1"/>
    </xf>
    <xf numFmtId="4" fontId="3" fillId="2" borderId="10" applyNumberFormat="0" applyProtection="0">
      <alignment horizontal="left" vertical="center" indent="1"/>
    </xf>
    <xf numFmtId="4" fontId="3" fillId="2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4" fontId="3" fillId="5" borderId="10" applyNumberFormat="0" applyProtection="0">
      <alignment horizontal="right" vertical="center"/>
    </xf>
    <xf numFmtId="4" fontId="3" fillId="5" borderId="10" applyNumberFormat="0" applyProtection="0">
      <alignment horizontal="right" vertical="center"/>
    </xf>
    <xf numFmtId="4" fontId="3" fillId="13" borderId="10" applyNumberFormat="0" applyProtection="0">
      <alignment horizontal="right" vertical="center"/>
    </xf>
    <xf numFmtId="4" fontId="3" fillId="13" borderId="10" applyNumberFormat="0" applyProtection="0">
      <alignment horizontal="right" vertical="center"/>
    </xf>
    <xf numFmtId="4" fontId="3" fillId="22" borderId="10" applyNumberFormat="0" applyProtection="0">
      <alignment horizontal="right" vertical="center"/>
    </xf>
    <xf numFmtId="4" fontId="3" fillId="22" borderId="10" applyNumberFormat="0" applyProtection="0">
      <alignment horizontal="right" vertical="center"/>
    </xf>
    <xf numFmtId="4" fontId="3" fillId="15" borderId="10" applyNumberFormat="0" applyProtection="0">
      <alignment horizontal="right" vertical="center"/>
    </xf>
    <xf numFmtId="4" fontId="3" fillId="15" borderId="10" applyNumberFormat="0" applyProtection="0">
      <alignment horizontal="right" vertical="center"/>
    </xf>
    <xf numFmtId="4" fontId="3" fillId="20" borderId="10" applyNumberFormat="0" applyProtection="0">
      <alignment horizontal="right" vertical="center"/>
    </xf>
    <xf numFmtId="4" fontId="3" fillId="20" borderId="10" applyNumberFormat="0" applyProtection="0">
      <alignment horizontal="right" vertical="center"/>
    </xf>
    <xf numFmtId="4" fontId="3" fillId="24" borderId="10" applyNumberFormat="0" applyProtection="0">
      <alignment horizontal="right" vertical="center"/>
    </xf>
    <xf numFmtId="4" fontId="3" fillId="24" borderId="10" applyNumberFormat="0" applyProtection="0">
      <alignment horizontal="right" vertical="center"/>
    </xf>
    <xf numFmtId="4" fontId="3" fillId="23" borderId="10" applyNumberFormat="0" applyProtection="0">
      <alignment horizontal="right" vertical="center"/>
    </xf>
    <xf numFmtId="4" fontId="3" fillId="23" borderId="10" applyNumberFormat="0" applyProtection="0">
      <alignment horizontal="right" vertical="center"/>
    </xf>
    <xf numFmtId="4" fontId="3" fillId="43" borderId="10" applyNumberFormat="0" applyProtection="0">
      <alignment horizontal="right" vertical="center"/>
    </xf>
    <xf numFmtId="4" fontId="3" fillId="43" borderId="10" applyNumberFormat="0" applyProtection="0">
      <alignment horizontal="right" vertical="center"/>
    </xf>
    <xf numFmtId="4" fontId="3" fillId="14" borderId="10" applyNumberFormat="0" applyProtection="0">
      <alignment horizontal="right" vertical="center"/>
    </xf>
    <xf numFmtId="4" fontId="3" fillId="14" borderId="10" applyNumberFormat="0" applyProtection="0">
      <alignment horizontal="right" vertical="center"/>
    </xf>
    <xf numFmtId="4" fontId="91" fillId="44" borderId="10" applyNumberFormat="0" applyProtection="0">
      <alignment horizontal="left" vertical="center" indent="1"/>
    </xf>
    <xf numFmtId="4" fontId="91" fillId="44" borderId="10" applyNumberFormat="0" applyProtection="0">
      <alignment horizontal="left" vertical="center" indent="1"/>
    </xf>
    <xf numFmtId="4" fontId="3" fillId="26" borderId="42" applyNumberFormat="0" applyProtection="0">
      <alignment horizontal="left" vertical="center" indent="1"/>
    </xf>
    <xf numFmtId="4" fontId="3" fillId="26" borderId="42" applyNumberFormat="0" applyProtection="0">
      <alignment horizontal="left" vertical="center" indent="1"/>
    </xf>
    <xf numFmtId="4" fontId="58" fillId="32" borderId="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4" fontId="3" fillId="45" borderId="43" applyNumberFormat="0" applyProtection="0">
      <alignment horizontal="right" vertical="center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4" fontId="3" fillId="45" borderId="43" applyNumberFormat="0" applyProtection="0">
      <alignment horizontal="right" vertical="center"/>
    </xf>
    <xf numFmtId="4" fontId="3" fillId="26" borderId="10" applyNumberFormat="0" applyProtection="0">
      <alignment horizontal="left" vertical="center" indent="1"/>
    </xf>
    <xf numFmtId="4" fontId="3" fillId="26" borderId="10" applyNumberFormat="0" applyProtection="0">
      <alignment horizontal="left" vertical="center" indent="1"/>
    </xf>
    <xf numFmtId="4" fontId="3" fillId="26" borderId="10" applyNumberFormat="0" applyProtection="0">
      <alignment horizontal="left" vertical="center" indent="1"/>
    </xf>
    <xf numFmtId="4" fontId="3" fillId="26" borderId="10" applyNumberFormat="0" applyProtection="0">
      <alignment horizontal="left" vertical="center" indent="1"/>
    </xf>
    <xf numFmtId="4" fontId="3" fillId="26" borderId="10" applyNumberFormat="0" applyProtection="0">
      <alignment horizontal="left" vertical="center" indent="1"/>
    </xf>
    <xf numFmtId="4" fontId="3" fillId="26" borderId="10" applyNumberFormat="0" applyProtection="0">
      <alignment horizontal="left" vertical="center" indent="1"/>
    </xf>
    <xf numFmtId="4" fontId="3" fillId="2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4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46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91" fillId="25" borderId="43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3" fillId="27" borderId="10" applyNumberFormat="0" applyProtection="0">
      <alignment horizontal="left" vertical="center" indent="1"/>
    </xf>
    <xf numFmtId="0" fontId="65" fillId="16" borderId="10" applyNumberFormat="0" applyProtection="0">
      <alignment horizontal="left" vertical="center" indent="1"/>
    </xf>
    <xf numFmtId="0" fontId="65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16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4" fontId="3" fillId="11" borderId="10" applyNumberFormat="0" applyProtection="0">
      <alignment vertical="center"/>
    </xf>
    <xf numFmtId="4" fontId="3" fillId="11" borderId="10" applyNumberFormat="0" applyProtection="0">
      <alignment vertical="center"/>
    </xf>
    <xf numFmtId="4" fontId="90" fillId="11" borderId="10" applyNumberFormat="0" applyProtection="0">
      <alignment vertical="center"/>
    </xf>
    <xf numFmtId="4" fontId="90" fillId="11" borderId="10" applyNumberFormat="0" applyProtection="0">
      <alignment vertical="center"/>
    </xf>
    <xf numFmtId="4" fontId="3" fillId="11" borderId="10" applyNumberFormat="0" applyProtection="0">
      <alignment horizontal="left" vertical="center" indent="1"/>
    </xf>
    <xf numFmtId="4" fontId="3" fillId="11" borderId="10" applyNumberFormat="0" applyProtection="0">
      <alignment horizontal="left" vertical="center" indent="1"/>
    </xf>
    <xf numFmtId="4" fontId="3" fillId="11" borderId="10" applyNumberFormat="0" applyProtection="0">
      <alignment horizontal="left" vertical="center" indent="1"/>
    </xf>
    <xf numFmtId="4" fontId="3" fillId="11" borderId="10" applyNumberFormat="0" applyProtection="0">
      <alignment horizontal="left" vertical="center" indent="1"/>
    </xf>
    <xf numFmtId="4" fontId="3" fillId="26" borderId="10" applyNumberFormat="0" applyProtection="0">
      <alignment horizontal="right" vertical="center"/>
    </xf>
    <xf numFmtId="281" fontId="3" fillId="8" borderId="43" applyProtection="0">
      <alignment horizontal="right" vertical="center"/>
    </xf>
    <xf numFmtId="4" fontId="3" fillId="26" borderId="10" applyNumberFormat="0" applyProtection="0">
      <alignment horizontal="right" vertical="center"/>
    </xf>
    <xf numFmtId="4" fontId="90" fillId="26" borderId="10" applyNumberFormat="0" applyProtection="0">
      <alignment horizontal="right" vertical="center"/>
    </xf>
    <xf numFmtId="4" fontId="90" fillId="26" borderId="10" applyNumberFormat="0" applyProtection="0">
      <alignment horizontal="right" vertical="center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4" fontId="102" fillId="47" borderId="43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4" fontId="102" fillId="47" borderId="43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3" fillId="4" borderId="10" applyNumberFormat="0" applyProtection="0">
      <alignment horizontal="left" vertical="center" indent="1"/>
    </xf>
    <xf numFmtId="0" fontId="205" fillId="0" borderId="0"/>
    <xf numFmtId="4" fontId="206" fillId="26" borderId="10" applyNumberFormat="0" applyProtection="0">
      <alignment horizontal="right" vertical="center"/>
    </xf>
    <xf numFmtId="4" fontId="206" fillId="26" borderId="10" applyNumberFormat="0" applyProtection="0">
      <alignment horizontal="right" vertical="center"/>
    </xf>
    <xf numFmtId="0" fontId="131" fillId="7" borderId="5">
      <alignment horizontal="left" vertical="top" wrapText="1"/>
    </xf>
    <xf numFmtId="0" fontId="131" fillId="7" borderId="5">
      <alignment horizontal="left" vertical="top" wrapText="1"/>
    </xf>
    <xf numFmtId="0" fontId="207" fillId="0" borderId="0">
      <alignment horizontal="left" vertical="top" wrapText="1"/>
    </xf>
    <xf numFmtId="0" fontId="207" fillId="0" borderId="0">
      <alignment horizontal="left" vertical="top" wrapText="1"/>
    </xf>
    <xf numFmtId="0" fontId="131" fillId="7" borderId="5">
      <alignment horizontal="left" vertical="top" wrapText="1"/>
    </xf>
    <xf numFmtId="0" fontId="131" fillId="7" borderId="5">
      <alignment horizontal="left" vertical="top" wrapText="1"/>
    </xf>
    <xf numFmtId="1" fontId="208" fillId="17" borderId="5">
      <alignment horizontal="center" vertical="center"/>
    </xf>
    <xf numFmtId="172" fontId="18" fillId="0" borderId="0"/>
    <xf numFmtId="0" fontId="208" fillId="48" borderId="0">
      <alignment vertical="top"/>
    </xf>
    <xf numFmtId="0" fontId="209" fillId="0" borderId="0" applyNumberFormat="0" applyFill="0" applyBorder="0" applyProtection="0"/>
    <xf numFmtId="164" fontId="210" fillId="0" borderId="0"/>
    <xf numFmtId="164" fontId="210" fillId="0" borderId="0"/>
    <xf numFmtId="222" fontId="210" fillId="0" borderId="0"/>
    <xf numFmtId="0" fontId="27" fillId="0" borderId="0" applyNumberFormat="0" applyFill="0" applyBorder="0" applyProtection="0">
      <alignment horizontal="center"/>
    </xf>
    <xf numFmtId="41" fontId="21" fillId="0" borderId="0"/>
    <xf numFmtId="41" fontId="21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211" fillId="0" borderId="0"/>
    <xf numFmtId="0" fontId="131" fillId="0" borderId="0" applyFill="0" applyBorder="0" applyProtection="0"/>
    <xf numFmtId="0" fontId="3" fillId="0" borderId="0"/>
    <xf numFmtId="0" fontId="212" fillId="0" borderId="0"/>
    <xf numFmtId="0" fontId="183" fillId="39" borderId="0">
      <alignment vertical="center"/>
    </xf>
    <xf numFmtId="0" fontId="11" fillId="10" borderId="0" applyProtection="0"/>
    <xf numFmtId="0" fontId="91" fillId="10" borderId="0" applyNumberFormat="0" applyFill="0" applyBorder="0" applyProtection="0"/>
    <xf numFmtId="282" fontId="3" fillId="10" borderId="0">
      <alignment horizontal="left" indent="1"/>
    </xf>
    <xf numFmtId="202" fontId="91" fillId="10" borderId="0" applyNumberFormat="0" applyFill="0" applyBorder="0" applyProtection="0">
      <alignment horizontal="left"/>
    </xf>
    <xf numFmtId="0" fontId="3" fillId="0" borderId="44"/>
    <xf numFmtId="0" fontId="213" fillId="0" borderId="0" applyBorder="0" applyProtection="0">
      <alignment vertical="center"/>
    </xf>
    <xf numFmtId="0" fontId="213" fillId="0" borderId="37" applyBorder="0" applyProtection="0">
      <alignment horizontal="right" vertical="center"/>
    </xf>
    <xf numFmtId="0" fontId="214" fillId="49" borderId="0" applyBorder="0" applyProtection="0">
      <alignment horizontal="centerContinuous" vertical="center"/>
    </xf>
    <xf numFmtId="0" fontId="214" fillId="50" borderId="37" applyBorder="0" applyProtection="0">
      <alignment horizontal="centerContinuous" vertical="center"/>
    </xf>
    <xf numFmtId="0" fontId="215" fillId="0" borderId="0"/>
    <xf numFmtId="0" fontId="216" fillId="0" borderId="0" applyBorder="0" applyProtection="0">
      <alignment horizontal="left"/>
    </xf>
    <xf numFmtId="0" fontId="189" fillId="0" borderId="0"/>
    <xf numFmtId="0" fontId="217" fillId="0" borderId="0" applyFill="0" applyBorder="0" applyProtection="0">
      <alignment horizontal="left"/>
    </xf>
    <xf numFmtId="0" fontId="138" fillId="0" borderId="45" applyFill="0" applyBorder="0" applyProtection="0">
      <alignment horizontal="left" vertical="top"/>
    </xf>
    <xf numFmtId="0" fontId="138" fillId="0" borderId="45" applyFill="0" applyBorder="0" applyProtection="0">
      <alignment horizontal="left" vertical="top"/>
    </xf>
    <xf numFmtId="0" fontId="112" fillId="0" borderId="0">
      <alignment horizontal="centerContinuous"/>
    </xf>
    <xf numFmtId="0" fontId="21" fillId="0" borderId="0"/>
    <xf numFmtId="0" fontId="218" fillId="0" borderId="0" applyNumberFormat="0" applyFont="0" applyFill="0" applyBorder="0" applyProtection="0">
      <alignment vertical="top" wrapText="1"/>
    </xf>
    <xf numFmtId="0" fontId="219" fillId="0" borderId="45" applyFill="0" applyBorder="0" applyProtection="0"/>
    <xf numFmtId="0" fontId="219" fillId="0" borderId="0"/>
    <xf numFmtId="1" fontId="32" fillId="0" borderId="0"/>
    <xf numFmtId="0" fontId="219" fillId="0" borderId="45" applyFill="0" applyBorder="0" applyProtection="0"/>
    <xf numFmtId="0" fontId="220" fillId="0" borderId="0" applyFill="0" applyBorder="0" applyProtection="0"/>
    <xf numFmtId="0" fontId="220" fillId="0" borderId="0"/>
    <xf numFmtId="49" fontId="3" fillId="0" borderId="0" applyFill="0" applyBorder="0"/>
    <xf numFmtId="283" fontId="89" fillId="0" borderId="0" applyFill="0" applyBorder="0"/>
    <xf numFmtId="284" fontId="89" fillId="0" borderId="0" applyFill="0" applyBorder="0"/>
    <xf numFmtId="0" fontId="216" fillId="0" borderId="0">
      <alignment vertical="top"/>
    </xf>
    <xf numFmtId="0" fontId="221" fillId="0" borderId="0"/>
    <xf numFmtId="0" fontId="65" fillId="0" borderId="0">
      <alignment vertical="top"/>
    </xf>
    <xf numFmtId="0" fontId="222" fillId="0" borderId="0" applyFill="0" applyBorder="0" applyProtection="0">
      <alignment horizontal="left" vertical="top"/>
    </xf>
    <xf numFmtId="0" fontId="60" fillId="0" borderId="0" applyNumberFormat="0" applyFill="0" applyBorder="0" applyProtection="0"/>
    <xf numFmtId="0" fontId="209" fillId="0" borderId="0" applyNumberFormat="0" applyFill="0" applyBorder="0" applyProtection="0"/>
    <xf numFmtId="1" fontId="223" fillId="51" borderId="0">
      <alignment horizontal="center"/>
    </xf>
    <xf numFmtId="0" fontId="60" fillId="0" borderId="0" applyNumberFormat="0" applyFill="0" applyBorder="0" applyProtection="0"/>
    <xf numFmtId="0" fontId="224" fillId="0" borderId="0">
      <alignment vertical="top"/>
    </xf>
    <xf numFmtId="223" fontId="206" fillId="0" borderId="0" applyNumberFormat="0" applyFill="0" applyBorder="0" applyProtection="0"/>
    <xf numFmtId="0" fontId="27" fillId="16" borderId="1"/>
    <xf numFmtId="0" fontId="54" fillId="0" borderId="16" applyNumberFormat="0" applyFill="0" applyProtection="0"/>
    <xf numFmtId="0" fontId="54" fillId="0" borderId="46" applyNumberFormat="0" applyFill="0" applyProtection="0"/>
    <xf numFmtId="0" fontId="103" fillId="0" borderId="47" applyNumberFormat="0" applyFont="0" applyFill="0" applyProtection="0"/>
    <xf numFmtId="0" fontId="54" fillId="0" borderId="16" applyNumberFormat="0" applyFill="0" applyProtection="0"/>
    <xf numFmtId="167" fontId="21" fillId="16" borderId="5"/>
    <xf numFmtId="167" fontId="21" fillId="16" borderId="5"/>
    <xf numFmtId="0" fontId="91" fillId="0" borderId="16" applyNumberFormat="0" applyFill="0" applyProtection="0"/>
    <xf numFmtId="0" fontId="4" fillId="0" borderId="47"/>
    <xf numFmtId="0" fontId="225" fillId="0" borderId="29" applyFill="0" applyBorder="0" applyProtection="0">
      <alignment vertical="center"/>
    </xf>
    <xf numFmtId="37" fontId="112" fillId="16" borderId="20"/>
    <xf numFmtId="0" fontId="3" fillId="52" borderId="0"/>
    <xf numFmtId="0" fontId="226" fillId="52" borderId="0" applyFill="0"/>
    <xf numFmtId="49" fontId="139" fillId="8" borderId="48">
      <alignment horizontal="left"/>
    </xf>
    <xf numFmtId="49" fontId="139" fillId="8" borderId="48">
      <alignment horizontal="left"/>
    </xf>
    <xf numFmtId="49" fontId="139" fillId="8" borderId="48">
      <alignment horizontal="left"/>
    </xf>
    <xf numFmtId="49" fontId="139" fillId="8" borderId="48">
      <alignment horizontal="left"/>
    </xf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227" fillId="0" borderId="0">
      <alignment horizontal="justify"/>
    </xf>
    <xf numFmtId="0" fontId="3" fillId="0" borderId="0"/>
    <xf numFmtId="263" fontId="27" fillId="0" borderId="0">
      <alignment horizontal="left"/>
    </xf>
    <xf numFmtId="0" fontId="3" fillId="0" borderId="0"/>
    <xf numFmtId="263" fontId="27" fillId="0" borderId="0">
      <alignment horizontal="left"/>
    </xf>
    <xf numFmtId="0" fontId="3" fillId="0" borderId="0" applyFont="0" applyFill="0" applyBorder="0" applyProtection="0"/>
    <xf numFmtId="0" fontId="156" fillId="0" borderId="0"/>
    <xf numFmtId="0" fontId="3" fillId="0" borderId="0"/>
    <xf numFmtId="0" fontId="156" fillId="0" borderId="0"/>
    <xf numFmtId="285" fontId="5" fillId="0" borderId="0" applyFont="0" applyFill="0" applyBorder="0" applyProtection="0"/>
    <xf numFmtId="286" fontId="28" fillId="0" borderId="0" applyFont="0" applyFill="0" applyBorder="0" applyProtection="0"/>
    <xf numFmtId="0" fontId="228" fillId="0" borderId="0"/>
    <xf numFmtId="0" fontId="32" fillId="0" borderId="0"/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287" fontId="3" fillId="0" borderId="0" applyFont="0" applyFill="0" applyBorder="0" applyProtection="0"/>
    <xf numFmtId="264" fontId="3" fillId="0" borderId="0" applyFont="0" applyFill="0" applyBorder="0" applyProtection="0"/>
    <xf numFmtId="253" fontId="3" fillId="0" borderId="0" applyFont="0" applyFill="0" applyBorder="0" applyProtection="0"/>
    <xf numFmtId="288" fontId="3" fillId="0" borderId="0" applyFont="0" applyFill="0" applyBorder="0" applyProtection="0"/>
    <xf numFmtId="289" fontId="3" fillId="0" borderId="0" applyFont="0" applyFill="0" applyBorder="0" applyProtection="0"/>
    <xf numFmtId="216" fontId="3" fillId="0" borderId="0" applyFont="0" applyFill="0" applyBorder="0" applyProtection="0"/>
    <xf numFmtId="166" fontId="5" fillId="0" borderId="0" applyFont="0" applyFill="0" applyBorder="0" applyProtection="0"/>
    <xf numFmtId="213" fontId="5" fillId="0" borderId="0" applyFont="0" applyFill="0" applyBorder="0" applyProtection="0"/>
    <xf numFmtId="0" fontId="77" fillId="0" borderId="0" applyNumberFormat="0" applyFill="0" applyBorder="0" applyProtection="0"/>
    <xf numFmtId="0" fontId="77" fillId="0" borderId="0" applyNumberFormat="0" applyFill="0" applyBorder="0" applyProtection="0"/>
    <xf numFmtId="0" fontId="77" fillId="0" borderId="0" applyNumberFormat="0" applyFill="0" applyBorder="0" applyProtection="0"/>
    <xf numFmtId="0" fontId="3" fillId="14" borderId="0" applyNumberFormat="0" applyBorder="0" applyProtection="0"/>
    <xf numFmtId="290" fontId="3" fillId="0" borderId="0" applyFont="0" applyFill="0" applyBorder="0" applyProtection="0"/>
    <xf numFmtId="291" fontId="3" fillId="0" borderId="0" applyFont="0" applyFill="0" applyBorder="0" applyProtection="0"/>
    <xf numFmtId="291" fontId="3" fillId="0" borderId="0" applyFont="0" applyFill="0" applyBorder="0" applyProtection="0"/>
    <xf numFmtId="291" fontId="3" fillId="0" borderId="0" applyFont="0" applyFill="0" applyBorder="0" applyProtection="0"/>
    <xf numFmtId="292" fontId="3" fillId="0" borderId="0" applyFont="0" applyFill="0" applyBorder="0" applyProtection="0"/>
    <xf numFmtId="292" fontId="3" fillId="0" borderId="0" applyFont="0" applyFill="0" applyBorder="0" applyProtection="0"/>
    <xf numFmtId="292" fontId="3" fillId="0" borderId="0" applyFont="0" applyFill="0" applyBorder="0" applyProtection="0"/>
    <xf numFmtId="293" fontId="3" fillId="0" borderId="0" applyFont="0" applyFill="0" applyBorder="0" applyProtection="0"/>
    <xf numFmtId="293" fontId="3" fillId="0" borderId="0" applyFont="0" applyFill="0" applyBorder="0" applyProtection="0"/>
    <xf numFmtId="293" fontId="3" fillId="0" borderId="0" applyFont="0" applyFill="0" applyBorder="0" applyProtection="0"/>
    <xf numFmtId="290" fontId="3" fillId="0" borderId="0" applyFont="0" applyFill="0" applyBorder="0" applyProtection="0"/>
    <xf numFmtId="290" fontId="3" fillId="0" borderId="0" applyFont="0" applyFill="0" applyBorder="0" applyProtection="0"/>
    <xf numFmtId="294" fontId="3" fillId="0" borderId="0" applyFont="0" applyFill="0" applyBorder="0" applyProtection="0"/>
    <xf numFmtId="295" fontId="3" fillId="0" borderId="0" applyFont="0" applyFill="0" applyBorder="0" applyProtection="0"/>
    <xf numFmtId="295" fontId="3" fillId="0" borderId="0" applyFont="0" applyFill="0" applyBorder="0" applyProtection="0"/>
    <xf numFmtId="295" fontId="3" fillId="0" borderId="0" applyFont="0" applyFill="0" applyBorder="0" applyProtection="0"/>
    <xf numFmtId="296" fontId="3" fillId="0" borderId="0" applyFont="0" applyFill="0" applyBorder="0" applyProtection="0"/>
    <xf numFmtId="296" fontId="3" fillId="0" borderId="0" applyFont="0" applyFill="0" applyBorder="0" applyProtection="0"/>
    <xf numFmtId="296" fontId="3" fillId="0" borderId="0" applyFont="0" applyFill="0" applyBorder="0" applyProtection="0"/>
    <xf numFmtId="297" fontId="3" fillId="0" borderId="0" applyFont="0" applyFill="0" applyBorder="0" applyProtection="0"/>
    <xf numFmtId="297" fontId="3" fillId="0" borderId="0" applyFont="0" applyFill="0" applyBorder="0" applyProtection="0"/>
    <xf numFmtId="297" fontId="3" fillId="0" borderId="0" applyFont="0" applyFill="0" applyBorder="0" applyProtection="0"/>
    <xf numFmtId="294" fontId="3" fillId="0" borderId="0" applyFont="0" applyFill="0" applyBorder="0" applyProtection="0"/>
    <xf numFmtId="294" fontId="3" fillId="0" borderId="0" applyFont="0" applyFill="0" applyBorder="0" applyProtection="0"/>
    <xf numFmtId="298" fontId="3" fillId="10" borderId="0" applyFont="0" applyFill="0" applyBorder="0" applyProtection="0">
      <alignment horizontal="right"/>
    </xf>
    <xf numFmtId="299" fontId="38" fillId="0" borderId="26" applyFont="0" applyFill="0" applyBorder="0">
      <alignment horizontal="centerContinuous"/>
    </xf>
    <xf numFmtId="300" fontId="229" fillId="0" borderId="26" applyFont="0" applyFill="0" applyBorder="0">
      <alignment horizontal="centerContinuous"/>
    </xf>
    <xf numFmtId="1" fontId="230" fillId="0" borderId="0" applyFill="0" applyProtection="0">
      <alignment horizontal="right"/>
    </xf>
    <xf numFmtId="301" fontId="3" fillId="0" borderId="0" applyFont="0" applyFill="0" applyBorder="0" applyProtection="0"/>
    <xf numFmtId="0" fontId="3" fillId="0" borderId="0"/>
    <xf numFmtId="38" fontId="231" fillId="0" borderId="0" applyFont="0" applyFill="0" applyBorder="0" applyProtection="0"/>
    <xf numFmtId="0" fontId="231" fillId="0" borderId="0"/>
    <xf numFmtId="0" fontId="23" fillId="0" borderId="0">
      <alignment vertical="center"/>
    </xf>
    <xf numFmtId="183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Protection="0"/>
    <xf numFmtId="0" fontId="2" fillId="0" borderId="0"/>
  </cellStyleXfs>
  <cellXfs count="519">
    <xf numFmtId="0" fontId="0" fillId="0" borderId="0" xfId="0"/>
    <xf numFmtId="0" fontId="232" fillId="54" borderId="0" xfId="0" applyFont="1" applyFill="1" applyAlignment="1">
      <alignment horizontal="right"/>
    </xf>
    <xf numFmtId="0" fontId="0" fillId="54" borderId="0" xfId="0" applyFill="1" applyAlignment="1">
      <alignment horizontal="left"/>
    </xf>
    <xf numFmtId="0" fontId="0" fillId="54" borderId="0" xfId="0" applyFill="1"/>
    <xf numFmtId="0" fontId="233" fillId="54" borderId="0" xfId="0" applyFont="1" applyFill="1" applyAlignment="1">
      <alignment horizontal="center" vertical="center"/>
    </xf>
    <xf numFmtId="0" fontId="234" fillId="0" borderId="5" xfId="0" applyFont="1" applyBorder="1" applyAlignment="1">
      <alignment horizontal="center" vertical="distributed"/>
    </xf>
    <xf numFmtId="0" fontId="234" fillId="53" borderId="5" xfId="0" applyFont="1" applyFill="1" applyBorder="1" applyAlignment="1">
      <alignment horizontal="left" vertical="distributed" wrapText="1"/>
    </xf>
    <xf numFmtId="43" fontId="237" fillId="53" borderId="5" xfId="1227" applyFont="1" applyFill="1" applyBorder="1" applyAlignment="1">
      <alignment horizontal="center" vertical="distributed"/>
    </xf>
    <xf numFmtId="43" fontId="238" fillId="53" borderId="5" xfId="1227" applyFont="1" applyFill="1" applyBorder="1" applyAlignment="1">
      <alignment horizontal="left" vertical="distributed"/>
    </xf>
    <xf numFmtId="0" fontId="0" fillId="0" borderId="5" xfId="0" applyBorder="1" applyAlignment="1">
      <alignment horizontal="center" vertical="center"/>
    </xf>
    <xf numFmtId="43" fontId="66" fillId="56" borderId="5" xfId="1227" applyFont="1" applyFill="1" applyBorder="1"/>
    <xf numFmtId="43" fontId="237" fillId="53" borderId="5" xfId="1227" applyFont="1" applyFill="1" applyBorder="1" applyAlignment="1">
      <alignment horizontal="center" vertical="top"/>
    </xf>
    <xf numFmtId="43" fontId="0" fillId="0" borderId="0" xfId="0" applyNumberFormat="1"/>
    <xf numFmtId="43" fontId="234" fillId="57" borderId="5" xfId="1227" applyFont="1" applyFill="1" applyBorder="1" applyAlignment="1">
      <alignment vertical="center" wrapText="1"/>
    </xf>
    <xf numFmtId="43" fontId="234" fillId="58" borderId="5" xfId="1227" applyFont="1" applyFill="1" applyBorder="1" applyAlignment="1">
      <alignment horizontal="center" vertical="top" wrapText="1"/>
    </xf>
    <xf numFmtId="0" fontId="234" fillId="57" borderId="5" xfId="0" applyFont="1" applyFill="1" applyBorder="1" applyAlignment="1">
      <alignment horizontal="left" vertical="distributed" wrapText="1"/>
    </xf>
    <xf numFmtId="0" fontId="234" fillId="0" borderId="5" xfId="0" applyFont="1" applyBorder="1" applyAlignment="1">
      <alignment vertical="distributed" wrapText="1"/>
    </xf>
    <xf numFmtId="0" fontId="234" fillId="0" borderId="5" xfId="0" applyFont="1" applyBorder="1" applyAlignment="1">
      <alignment horizontal="left" vertical="distributed" wrapText="1"/>
    </xf>
    <xf numFmtId="43" fontId="234" fillId="59" borderId="5" xfId="1227" applyFont="1" applyFill="1" applyBorder="1" applyAlignment="1">
      <alignment horizontal="center" vertical="distributed" wrapText="1"/>
    </xf>
    <xf numFmtId="43" fontId="234" fillId="59" borderId="5" xfId="1227" applyFont="1" applyFill="1" applyBorder="1" applyAlignment="1">
      <alignment horizontal="left" vertical="distributed" wrapText="1"/>
    </xf>
    <xf numFmtId="43" fontId="237" fillId="56" borderId="5" xfId="1227" applyFont="1" applyFill="1" applyBorder="1"/>
    <xf numFmtId="0" fontId="0" fillId="60" borderId="0" xfId="0" applyFill="1"/>
    <xf numFmtId="0" fontId="66" fillId="61" borderId="0" xfId="0" applyFont="1" applyFill="1" applyAlignment="1">
      <alignment horizontal="center"/>
    </xf>
    <xf numFmtId="0" fontId="66" fillId="57" borderId="0" xfId="0" applyFont="1" applyFill="1" applyAlignment="1">
      <alignment horizontal="center"/>
    </xf>
    <xf numFmtId="0" fontId="66" fillId="60" borderId="0" xfId="0" applyFont="1" applyFill="1" applyAlignment="1">
      <alignment horizontal="center"/>
    </xf>
    <xf numFmtId="0" fontId="66" fillId="0" borderId="0" xfId="0" applyFont="1" applyAlignment="1">
      <alignment horizontal="center" wrapText="1"/>
    </xf>
    <xf numFmtId="0" fontId="66" fillId="0" borderId="0" xfId="0" applyFont="1" applyAlignment="1">
      <alignment horizontal="center"/>
    </xf>
    <xf numFmtId="0" fontId="232" fillId="54" borderId="0" xfId="0" applyFont="1" applyFill="1"/>
    <xf numFmtId="0" fontId="66" fillId="54" borderId="0" xfId="0" applyFont="1" applyFill="1" applyAlignment="1">
      <alignment horizontal="center"/>
    </xf>
    <xf numFmtId="0" fontId="232" fillId="54" borderId="0" xfId="0" applyFont="1" applyFill="1" applyAlignment="1">
      <alignment horizontal="center"/>
    </xf>
    <xf numFmtId="0" fontId="66" fillId="54" borderId="0" xfId="0" applyFont="1" applyFill="1" applyAlignment="1">
      <alignment horizontal="center" wrapText="1"/>
    </xf>
    <xf numFmtId="0" fontId="242" fillId="60" borderId="5" xfId="0" applyFont="1" applyFill="1" applyBorder="1" applyAlignment="1">
      <alignment horizontal="center" vertical="center" wrapText="1"/>
    </xf>
    <xf numFmtId="0" fontId="237" fillId="61" borderId="5" xfId="0" applyFont="1" applyFill="1" applyBorder="1" applyAlignment="1">
      <alignment horizontal="center" vertical="center"/>
    </xf>
    <xf numFmtId="0" fontId="237" fillId="57" borderId="5" xfId="0" applyFont="1" applyFill="1" applyBorder="1" applyAlignment="1">
      <alignment horizontal="center" vertical="center" wrapText="1"/>
    </xf>
    <xf numFmtId="0" fontId="237" fillId="60" borderId="5" xfId="0" applyFont="1" applyFill="1" applyBorder="1" applyAlignment="1">
      <alignment horizontal="center" vertical="center"/>
    </xf>
    <xf numFmtId="0" fontId="237" fillId="53" borderId="5" xfId="0" applyFont="1" applyFill="1" applyBorder="1" applyAlignment="1">
      <alignment horizontal="center" vertical="center" wrapText="1"/>
    </xf>
    <xf numFmtId="0" fontId="243" fillId="53" borderId="5" xfId="0" applyFont="1" applyFill="1" applyBorder="1" applyAlignment="1">
      <alignment horizontal="center" vertical="center" wrapText="1"/>
    </xf>
    <xf numFmtId="0" fontId="243" fillId="53" borderId="5" xfId="0" applyFont="1" applyFill="1" applyBorder="1" applyAlignment="1">
      <alignment horizontal="center" vertical="center"/>
    </xf>
    <xf numFmtId="0" fontId="237" fillId="53" borderId="5" xfId="0" applyFont="1" applyFill="1" applyBorder="1" applyAlignment="1">
      <alignment horizontal="center" vertical="center"/>
    </xf>
    <xf numFmtId="0" fontId="237" fillId="53" borderId="0" xfId="0" applyFont="1" applyFill="1" applyAlignment="1">
      <alignment horizontal="center" vertical="center" wrapText="1"/>
    </xf>
    <xf numFmtId="0" fontId="237" fillId="53" borderId="45" xfId="0" applyFont="1" applyFill="1" applyBorder="1" applyAlignment="1">
      <alignment horizontal="center" vertical="center" wrapText="1"/>
    </xf>
    <xf numFmtId="43" fontId="237" fillId="62" borderId="5" xfId="1227" applyFont="1" applyFill="1" applyBorder="1" applyAlignment="1">
      <alignment horizontal="center" vertical="top"/>
    </xf>
    <xf numFmtId="43" fontId="234" fillId="0" borderId="5" xfId="1227" applyFont="1" applyBorder="1" applyAlignment="1">
      <alignment vertical="distributed" wrapText="1"/>
    </xf>
    <xf numFmtId="43" fontId="234" fillId="0" borderId="0" xfId="1227" applyFont="1" applyAlignment="1">
      <alignment vertical="distributed" wrapText="1"/>
    </xf>
    <xf numFmtId="43" fontId="234" fillId="0" borderId="5" xfId="1227" applyFont="1" applyBorder="1" applyAlignment="1">
      <alignment horizontal="center" vertical="top" wrapText="1"/>
    </xf>
    <xf numFmtId="43" fontId="244" fillId="0" borderId="5" xfId="1227" applyFont="1" applyBorder="1" applyAlignment="1">
      <alignment horizontal="center" vertical="top" wrapText="1"/>
    </xf>
    <xf numFmtId="302" fontId="234" fillId="0" borderId="5" xfId="1227" applyNumberFormat="1" applyFont="1" applyBorder="1" applyAlignment="1">
      <alignment horizontal="center" vertical="top" wrapText="1"/>
    </xf>
    <xf numFmtId="0" fontId="234" fillId="54" borderId="5" xfId="0" applyFont="1" applyFill="1" applyBorder="1" applyAlignment="1">
      <alignment vertical="distributed" wrapText="1"/>
    </xf>
    <xf numFmtId="302" fontId="234" fillId="60" borderId="5" xfId="0" applyNumberFormat="1" applyFont="1" applyFill="1" applyBorder="1" applyAlignment="1">
      <alignment vertical="distributed" wrapText="1"/>
    </xf>
    <xf numFmtId="43" fontId="234" fillId="61" borderId="5" xfId="1227" applyFont="1" applyFill="1" applyBorder="1" applyAlignment="1">
      <alignment horizontal="center" vertical="top" wrapText="1"/>
    </xf>
    <xf numFmtId="43" fontId="234" fillId="57" borderId="5" xfId="1227" applyFont="1" applyFill="1" applyBorder="1" applyAlignment="1">
      <alignment horizontal="center" vertical="top" wrapText="1"/>
    </xf>
    <xf numFmtId="43" fontId="234" fillId="60" borderId="5" xfId="1227" applyFont="1" applyFill="1" applyBorder="1" applyAlignment="1">
      <alignment horizontal="center" vertical="top" wrapText="1"/>
    </xf>
    <xf numFmtId="43" fontId="234" fillId="22" borderId="5" xfId="1227" applyFont="1" applyFill="1" applyBorder="1" applyAlignment="1">
      <alignment horizontal="center" vertical="top" wrapText="1"/>
    </xf>
    <xf numFmtId="43" fontId="244" fillId="63" borderId="5" xfId="1227" applyFont="1" applyFill="1" applyBorder="1" applyAlignment="1">
      <alignment horizontal="center" vertical="top" wrapText="1"/>
    </xf>
    <xf numFmtId="43" fontId="234" fillId="54" borderId="5" xfId="1227" applyFont="1" applyFill="1" applyBorder="1" applyAlignment="1">
      <alignment horizontal="center" vertical="top" wrapText="1"/>
    </xf>
    <xf numFmtId="43" fontId="244" fillId="54" borderId="5" xfId="1227" applyFont="1" applyFill="1" applyBorder="1" applyAlignment="1">
      <alignment horizontal="center" vertical="top" wrapText="1"/>
    </xf>
    <xf numFmtId="43" fontId="234" fillId="63" borderId="5" xfId="1227" applyFont="1" applyFill="1" applyBorder="1" applyAlignment="1">
      <alignment horizontal="center" vertical="top" wrapText="1"/>
    </xf>
    <xf numFmtId="0" fontId="66" fillId="56" borderId="5" xfId="0" applyFont="1" applyFill="1" applyBorder="1"/>
    <xf numFmtId="43" fontId="66" fillId="64" borderId="5" xfId="0" applyNumberFormat="1" applyFont="1" applyFill="1" applyBorder="1"/>
    <xf numFmtId="43" fontId="237" fillId="61" borderId="5" xfId="1227" applyFont="1" applyFill="1" applyBorder="1" applyAlignment="1">
      <alignment horizontal="center" vertical="top"/>
    </xf>
    <xf numFmtId="43" fontId="237" fillId="60" borderId="5" xfId="1227" applyFont="1" applyFill="1" applyBorder="1" applyAlignment="1">
      <alignment horizontal="center" vertical="top"/>
    </xf>
    <xf numFmtId="43" fontId="237" fillId="53" borderId="5" xfId="1227" applyFont="1" applyFill="1" applyBorder="1" applyAlignment="1">
      <alignment horizontal="center" vertical="top" wrapText="1"/>
    </xf>
    <xf numFmtId="0" fontId="234" fillId="0" borderId="5" xfId="0" applyFont="1" applyBorder="1" applyAlignment="1">
      <alignment horizontal="center" vertical="center"/>
    </xf>
    <xf numFmtId="302" fontId="234" fillId="0" borderId="5" xfId="1227" applyNumberFormat="1" applyFont="1" applyBorder="1" applyAlignment="1">
      <alignment vertical="distributed" wrapText="1"/>
    </xf>
    <xf numFmtId="43" fontId="234" fillId="0" borderId="5" xfId="1227" applyFont="1" applyBorder="1" applyAlignment="1">
      <alignment horizontal="center" vertical="center" wrapText="1"/>
    </xf>
    <xf numFmtId="302" fontId="234" fillId="0" borderId="5" xfId="1227" applyNumberFormat="1" applyFont="1" applyBorder="1" applyAlignment="1">
      <alignment horizontal="center" vertical="center" wrapText="1"/>
    </xf>
    <xf numFmtId="302" fontId="244" fillId="0" borderId="5" xfId="1227" applyNumberFormat="1" applyFont="1" applyBorder="1" applyAlignment="1">
      <alignment horizontal="center" vertical="top" wrapText="1"/>
    </xf>
    <xf numFmtId="302" fontId="245" fillId="0" borderId="5" xfId="1227" applyNumberFormat="1" applyFont="1" applyBorder="1" applyAlignment="1">
      <alignment horizontal="center" vertical="top" wrapText="1"/>
    </xf>
    <xf numFmtId="43" fontId="234" fillId="54" borderId="5" xfId="1227" applyFont="1" applyFill="1" applyBorder="1" applyAlignment="1">
      <alignment vertical="distributed" wrapText="1"/>
    </xf>
    <xf numFmtId="302" fontId="234" fillId="60" borderId="5" xfId="1227" applyNumberFormat="1" applyFont="1" applyFill="1" applyBorder="1" applyAlignment="1">
      <alignment vertical="distributed" wrapText="1"/>
    </xf>
    <xf numFmtId="302" fontId="234" fillId="57" borderId="5" xfId="1227" applyNumberFormat="1" applyFont="1" applyFill="1" applyBorder="1" applyAlignment="1">
      <alignment horizontal="center" vertical="center" wrapText="1"/>
    </xf>
    <xf numFmtId="43" fontId="234" fillId="57" borderId="5" xfId="1227" applyFont="1" applyFill="1" applyBorder="1" applyAlignment="1">
      <alignment horizontal="center" vertical="center" wrapText="1"/>
    </xf>
    <xf numFmtId="302" fontId="234" fillId="60" borderId="5" xfId="1227" applyNumberFormat="1" applyFont="1" applyFill="1" applyBorder="1" applyAlignment="1">
      <alignment horizontal="center" vertical="top" wrapText="1"/>
    </xf>
    <xf numFmtId="302" fontId="234" fillId="62" borderId="5" xfId="1227" applyNumberFormat="1" applyFont="1" applyFill="1" applyBorder="1" applyAlignment="1">
      <alignment horizontal="center" vertical="top" wrapText="1"/>
    </xf>
    <xf numFmtId="302" fontId="244" fillId="63" borderId="5" xfId="1227" applyNumberFormat="1" applyFont="1" applyFill="1" applyBorder="1" applyAlignment="1">
      <alignment horizontal="center" vertical="top" wrapText="1"/>
    </xf>
    <xf numFmtId="0" fontId="241" fillId="0" borderId="0" xfId="0" applyFont="1"/>
    <xf numFmtId="302" fontId="237" fillId="64" borderId="5" xfId="1227" applyNumberFormat="1" applyFont="1" applyFill="1" applyBorder="1"/>
    <xf numFmtId="302" fontId="238" fillId="57" borderId="5" xfId="1227" applyNumberFormat="1" applyFont="1" applyFill="1" applyBorder="1" applyAlignment="1">
      <alignment horizontal="center" vertical="center" wrapText="1"/>
    </xf>
    <xf numFmtId="43" fontId="237" fillId="57" borderId="5" xfId="1227" applyFont="1" applyFill="1" applyBorder="1" applyAlignment="1">
      <alignment horizontal="center" vertical="top"/>
    </xf>
    <xf numFmtId="302" fontId="238" fillId="60" borderId="5" xfId="1227" applyNumberFormat="1" applyFont="1" applyFill="1" applyBorder="1" applyAlignment="1">
      <alignment horizontal="center" vertical="top" wrapText="1"/>
    </xf>
    <xf numFmtId="302" fontId="238" fillId="53" borderId="5" xfId="1227" applyNumberFormat="1" applyFont="1" applyFill="1" applyBorder="1" applyAlignment="1">
      <alignment horizontal="center" vertical="top" wrapText="1"/>
    </xf>
    <xf numFmtId="43" fontId="243" fillId="53" borderId="5" xfId="1227" applyFont="1" applyFill="1" applyBorder="1" applyAlignment="1">
      <alignment horizontal="center" vertical="top"/>
    </xf>
    <xf numFmtId="0" fontId="233" fillId="55" borderId="50" xfId="0" applyFont="1" applyFill="1" applyBorder="1" applyAlignment="1">
      <alignment horizontal="left" vertical="center" wrapText="1"/>
    </xf>
    <xf numFmtId="43" fontId="234" fillId="0" borderId="5" xfId="1227" applyFont="1" applyBorder="1" applyAlignment="1">
      <alignment vertical="center" wrapText="1"/>
    </xf>
    <xf numFmtId="302" fontId="234" fillId="0" borderId="5" xfId="1227" applyNumberFormat="1" applyFont="1" applyBorder="1" applyAlignment="1">
      <alignment vertical="center" wrapText="1"/>
    </xf>
    <xf numFmtId="43" fontId="66" fillId="0" borderId="5" xfId="1227" applyFont="1" applyBorder="1" applyAlignment="1">
      <alignment horizontal="center" vertical="center" wrapText="1"/>
    </xf>
    <xf numFmtId="302" fontId="0" fillId="0" borderId="0" xfId="0" applyNumberFormat="1"/>
    <xf numFmtId="0" fontId="235" fillId="0" borderId="5" xfId="0" applyFont="1" applyBorder="1" applyAlignment="1">
      <alignment horizontal="left" vertical="center"/>
    </xf>
    <xf numFmtId="0" fontId="233" fillId="0" borderId="5" xfId="0" applyFont="1" applyBorder="1" applyAlignment="1">
      <alignment horizontal="left" vertical="center"/>
    </xf>
    <xf numFmtId="0" fontId="0" fillId="0" borderId="5" xfId="0" applyBorder="1" applyAlignment="1">
      <alignment wrapText="1"/>
    </xf>
    <xf numFmtId="43" fontId="245" fillId="0" borderId="5" xfId="1227" applyFont="1" applyBorder="1" applyAlignment="1">
      <alignment vertical="distributed" wrapText="1"/>
    </xf>
    <xf numFmtId="302" fontId="234" fillId="57" borderId="5" xfId="1227" applyNumberFormat="1" applyFont="1" applyFill="1" applyBorder="1" applyAlignment="1">
      <alignment horizontal="center" vertical="top" wrapText="1"/>
    </xf>
    <xf numFmtId="302" fontId="234" fillId="63" borderId="5" xfId="1227" applyNumberFormat="1" applyFont="1" applyFill="1" applyBorder="1" applyAlignment="1">
      <alignment horizontal="center" vertical="top" wrapText="1"/>
    </xf>
    <xf numFmtId="43" fontId="66" fillId="54" borderId="5" xfId="1227" applyFont="1" applyFill="1" applyBorder="1" applyAlignment="1">
      <alignment horizontal="center" vertical="center" wrapText="1"/>
    </xf>
    <xf numFmtId="0" fontId="0" fillId="65" borderId="0" xfId="0" applyFill="1"/>
    <xf numFmtId="43" fontId="234" fillId="54" borderId="5" xfId="1227" applyFont="1" applyFill="1" applyBorder="1" applyAlignment="1">
      <alignment vertical="center" wrapText="1"/>
    </xf>
    <xf numFmtId="302" fontId="234" fillId="60" borderId="5" xfId="1227" applyNumberFormat="1" applyFont="1" applyFill="1" applyBorder="1" applyAlignment="1">
      <alignment vertical="center" wrapText="1"/>
    </xf>
    <xf numFmtId="43" fontId="0" fillId="65" borderId="0" xfId="0" applyNumberFormat="1" applyFill="1"/>
    <xf numFmtId="302" fontId="234" fillId="22" borderId="5" xfId="1227" applyNumberFormat="1" applyFont="1" applyFill="1" applyBorder="1" applyAlignment="1">
      <alignment horizontal="center" vertical="top" wrapText="1"/>
    </xf>
    <xf numFmtId="43" fontId="237" fillId="66" borderId="5" xfId="1227" applyFont="1" applyFill="1" applyBorder="1"/>
    <xf numFmtId="302" fontId="237" fillId="60" borderId="5" xfId="1227" applyNumberFormat="1" applyFont="1" applyFill="1" applyBorder="1"/>
    <xf numFmtId="43" fontId="238" fillId="61" borderId="5" xfId="1227" applyFont="1" applyFill="1" applyBorder="1" applyAlignment="1">
      <alignment horizontal="center" vertical="top" wrapText="1"/>
    </xf>
    <xf numFmtId="302" fontId="238" fillId="57" borderId="5" xfId="1227" applyNumberFormat="1" applyFont="1" applyFill="1" applyBorder="1" applyAlignment="1">
      <alignment horizontal="center" vertical="top" wrapText="1"/>
    </xf>
    <xf numFmtId="302" fontId="238" fillId="66" borderId="5" xfId="1227" applyNumberFormat="1" applyFont="1" applyFill="1" applyBorder="1" applyAlignment="1">
      <alignment horizontal="center" vertical="top" wrapText="1"/>
    </xf>
    <xf numFmtId="43" fontId="243" fillId="66" borderId="5" xfId="1227" applyFont="1" applyFill="1" applyBorder="1" applyAlignment="1">
      <alignment horizontal="center" vertical="top" wrapText="1"/>
    </xf>
    <xf numFmtId="43" fontId="238" fillId="66" borderId="5" xfId="1227" applyFont="1" applyFill="1" applyBorder="1" applyAlignment="1">
      <alignment horizontal="center" vertical="top" wrapText="1"/>
    </xf>
    <xf numFmtId="43" fontId="237" fillId="66" borderId="5" xfId="1227" applyFont="1" applyFill="1" applyBorder="1" applyAlignment="1">
      <alignment horizontal="center" vertical="top"/>
    </xf>
    <xf numFmtId="43" fontId="241" fillId="0" borderId="0" xfId="0" applyNumberFormat="1" applyFont="1"/>
    <xf numFmtId="0" fontId="0" fillId="0" borderId="45" xfId="0" applyBorder="1" applyAlignment="1">
      <alignment wrapText="1"/>
    </xf>
    <xf numFmtId="43" fontId="66" fillId="64" borderId="5" xfId="1227" applyFont="1" applyFill="1" applyBorder="1"/>
    <xf numFmtId="302" fontId="237" fillId="57" borderId="5" xfId="1227" applyNumberFormat="1" applyFont="1" applyFill="1" applyBorder="1" applyAlignment="1">
      <alignment horizontal="center" vertical="top"/>
    </xf>
    <xf numFmtId="43" fontId="237" fillId="62" borderId="5" xfId="1227" applyFont="1" applyFill="1" applyBorder="1" applyAlignment="1">
      <alignment horizontal="center" vertical="center"/>
    </xf>
    <xf numFmtId="43" fontId="66" fillId="0" borderId="5" xfId="1227" applyFont="1" applyBorder="1" applyAlignment="1">
      <alignment vertical="distributed" wrapText="1"/>
    </xf>
    <xf numFmtId="302" fontId="66" fillId="0" borderId="5" xfId="1227" applyNumberFormat="1" applyFont="1" applyBorder="1" applyAlignment="1">
      <alignment vertical="distributed" wrapText="1"/>
    </xf>
    <xf numFmtId="43" fontId="66" fillId="0" borderId="5" xfId="1227" applyFont="1" applyBorder="1" applyAlignment="1">
      <alignment horizontal="center" vertical="top" wrapText="1"/>
    </xf>
    <xf numFmtId="302" fontId="66" fillId="0" borderId="5" xfId="1227" applyNumberFormat="1" applyFont="1" applyBorder="1" applyAlignment="1">
      <alignment horizontal="center" vertical="top" wrapText="1"/>
    </xf>
    <xf numFmtId="43" fontId="66" fillId="54" borderId="5" xfId="1227" applyFont="1" applyFill="1" applyBorder="1" applyAlignment="1">
      <alignment vertical="center" wrapText="1"/>
    </xf>
    <xf numFmtId="302" fontId="66" fillId="60" borderId="5" xfId="1227" applyNumberFormat="1" applyFont="1" applyFill="1" applyBorder="1" applyAlignment="1">
      <alignment vertical="center" wrapText="1"/>
    </xf>
    <xf numFmtId="43" fontId="66" fillId="61" borderId="5" xfId="1227" applyFont="1" applyFill="1" applyBorder="1" applyAlignment="1">
      <alignment horizontal="center" vertical="top" wrapText="1"/>
    </xf>
    <xf numFmtId="302" fontId="66" fillId="57" borderId="5" xfId="1227" applyNumberFormat="1" applyFont="1" applyFill="1" applyBorder="1" applyAlignment="1">
      <alignment horizontal="center" vertical="top" wrapText="1"/>
    </xf>
    <xf numFmtId="302" fontId="66" fillId="60" borderId="5" xfId="1227" applyNumberFormat="1" applyFont="1" applyFill="1" applyBorder="1" applyAlignment="1">
      <alignment horizontal="center" vertical="top" wrapText="1"/>
    </xf>
    <xf numFmtId="43" fontId="66" fillId="54" borderId="5" xfId="1227" applyFont="1" applyFill="1" applyBorder="1" applyAlignment="1">
      <alignment horizontal="center" vertical="top" wrapText="1"/>
    </xf>
    <xf numFmtId="302" fontId="66" fillId="67" borderId="5" xfId="1227" applyNumberFormat="1" applyFont="1" applyFill="1" applyBorder="1" applyAlignment="1">
      <alignment horizontal="center" vertical="top" wrapText="1"/>
    </xf>
    <xf numFmtId="302" fontId="237" fillId="60" borderId="5" xfId="1227" applyNumberFormat="1" applyFont="1" applyFill="1" applyBorder="1" applyAlignment="1">
      <alignment horizontal="center" vertical="top"/>
    </xf>
    <xf numFmtId="302" fontId="237" fillId="53" borderId="5" xfId="1227" applyNumberFormat="1" applyFont="1" applyFill="1" applyBorder="1" applyAlignment="1">
      <alignment horizontal="center" vertical="top" wrapText="1"/>
    </xf>
    <xf numFmtId="0" fontId="234" fillId="54" borderId="5" xfId="0" applyFont="1" applyFill="1" applyBorder="1" applyAlignment="1">
      <alignment vertical="center" wrapText="1"/>
    </xf>
    <xf numFmtId="302" fontId="234" fillId="60" borderId="5" xfId="0" applyNumberFormat="1" applyFont="1" applyFill="1" applyBorder="1" applyAlignment="1">
      <alignment vertical="center" wrapText="1"/>
    </xf>
    <xf numFmtId="0" fontId="0" fillId="57" borderId="5" xfId="0" applyFill="1" applyBorder="1" applyAlignment="1">
      <alignment horizontal="center" vertical="center"/>
    </xf>
    <xf numFmtId="0" fontId="0" fillId="60" borderId="5" xfId="0" applyFill="1" applyBorder="1" applyAlignment="1">
      <alignment horizontal="center" vertical="center"/>
    </xf>
    <xf numFmtId="0" fontId="0" fillId="22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7" fillId="56" borderId="5" xfId="0" applyFont="1" applyFill="1" applyBorder="1"/>
    <xf numFmtId="302" fontId="237" fillId="64" borderId="5" xfId="0" applyNumberFormat="1" applyFont="1" applyFill="1" applyBorder="1"/>
    <xf numFmtId="43" fontId="66" fillId="57" borderId="5" xfId="0" applyNumberFormat="1" applyFont="1" applyFill="1" applyBorder="1" applyAlignment="1">
      <alignment horizontal="center"/>
    </xf>
    <xf numFmtId="302" fontId="244" fillId="54" borderId="5" xfId="1227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43" fontId="234" fillId="60" borderId="5" xfId="1227" applyFont="1" applyFill="1" applyBorder="1" applyAlignment="1">
      <alignment vertical="center" wrapText="1"/>
    </xf>
    <xf numFmtId="43" fontId="66" fillId="57" borderId="0" xfId="0" applyNumberFormat="1" applyFont="1" applyFill="1" applyAlignment="1">
      <alignment horizontal="center"/>
    </xf>
    <xf numFmtId="302" fontId="234" fillId="54" borderId="5" xfId="1227" applyNumberFormat="1" applyFont="1" applyFill="1" applyBorder="1" applyAlignment="1">
      <alignment horizontal="center" vertical="top" wrapText="1"/>
    </xf>
    <xf numFmtId="43" fontId="234" fillId="61" borderId="5" xfId="1227" applyFont="1" applyFill="1" applyBorder="1" applyAlignment="1">
      <alignment horizontal="left" vertical="distributed" wrapText="1"/>
    </xf>
    <xf numFmtId="43" fontId="234" fillId="57" borderId="5" xfId="1227" applyFont="1" applyFill="1" applyBorder="1" applyAlignment="1">
      <alignment horizontal="left" vertical="distributed" wrapText="1"/>
    </xf>
    <xf numFmtId="43" fontId="234" fillId="60" borderId="5" xfId="1227" applyFont="1" applyFill="1" applyBorder="1" applyAlignment="1">
      <alignment horizontal="left" vertical="distributed" wrapText="1"/>
    </xf>
    <xf numFmtId="43" fontId="234" fillId="22" borderId="5" xfId="1227" applyFont="1" applyFill="1" applyBorder="1" applyAlignment="1">
      <alignment horizontal="left" vertical="distributed" wrapText="1"/>
    </xf>
    <xf numFmtId="43" fontId="234" fillId="54" borderId="5" xfId="1227" applyFont="1" applyFill="1" applyBorder="1" applyAlignment="1">
      <alignment horizontal="left" vertical="distributed" wrapText="1"/>
    </xf>
    <xf numFmtId="302" fontId="234" fillId="0" borderId="5" xfId="1227" applyNumberFormat="1" applyFont="1" applyBorder="1" applyAlignment="1">
      <alignment horizontal="left" vertical="distributed" wrapText="1"/>
    </xf>
    <xf numFmtId="43" fontId="234" fillId="0" borderId="5" xfId="1227" applyFont="1" applyBorder="1" applyAlignment="1">
      <alignment horizontal="left" vertical="distributed" wrapText="1"/>
    </xf>
    <xf numFmtId="43" fontId="237" fillId="64" borderId="5" xfId="1227" applyFont="1" applyFill="1" applyBorder="1"/>
    <xf numFmtId="43" fontId="238" fillId="61" borderId="5" xfId="1227" applyFont="1" applyFill="1" applyBorder="1" applyAlignment="1">
      <alignment horizontal="left" vertical="distributed"/>
    </xf>
    <xf numFmtId="43" fontId="238" fillId="57" borderId="5" xfId="1227" applyFont="1" applyFill="1" applyBorder="1" applyAlignment="1">
      <alignment horizontal="left" vertical="distributed"/>
    </xf>
    <xf numFmtId="43" fontId="238" fillId="60" borderId="5" xfId="1227" applyFont="1" applyFill="1" applyBorder="1" applyAlignment="1">
      <alignment horizontal="left" vertical="distributed"/>
    </xf>
    <xf numFmtId="43" fontId="238" fillId="53" borderId="5" xfId="1227" applyFont="1" applyFill="1" applyBorder="1" applyAlignment="1">
      <alignment horizontal="left" vertical="distributed" wrapText="1"/>
    </xf>
    <xf numFmtId="43" fontId="234" fillId="54" borderId="40" xfId="1227" applyFont="1" applyFill="1" applyBorder="1" applyAlignment="1">
      <alignment horizontal="center" vertical="top" wrapText="1"/>
    </xf>
    <xf numFmtId="43" fontId="244" fillId="54" borderId="5" xfId="1227" applyFont="1" applyFill="1" applyBorder="1" applyAlignment="1">
      <alignment vertical="center" wrapText="1"/>
    </xf>
    <xf numFmtId="43" fontId="244" fillId="60" borderId="5" xfId="1227" applyFont="1" applyFill="1" applyBorder="1" applyAlignment="1">
      <alignment vertical="center" wrapText="1"/>
    </xf>
    <xf numFmtId="43" fontId="244" fillId="61" borderId="5" xfId="1227" applyFont="1" applyFill="1" applyBorder="1" applyAlignment="1">
      <alignment horizontal="center" vertical="top" wrapText="1"/>
    </xf>
    <xf numFmtId="43" fontId="244" fillId="57" borderId="5" xfId="1227" applyFont="1" applyFill="1" applyBorder="1" applyAlignment="1">
      <alignment horizontal="center" vertical="top" wrapText="1"/>
    </xf>
    <xf numFmtId="0" fontId="66" fillId="60" borderId="5" xfId="0" applyFont="1" applyFill="1" applyBorder="1" applyAlignment="1">
      <alignment horizontal="center"/>
    </xf>
    <xf numFmtId="43" fontId="234" fillId="0" borderId="40" xfId="1227" applyFont="1" applyBorder="1" applyAlignment="1">
      <alignment horizontal="left" vertical="distributed" wrapText="1"/>
    </xf>
    <xf numFmtId="302" fontId="237" fillId="53" borderId="5" xfId="1227" applyNumberFormat="1" applyFont="1" applyFill="1" applyBorder="1" applyAlignment="1">
      <alignment horizontal="center" vertical="top"/>
    </xf>
    <xf numFmtId="0" fontId="234" fillId="68" borderId="5" xfId="0" applyFont="1" applyFill="1" applyBorder="1" applyAlignment="1">
      <alignment vertical="distributed" wrapText="1"/>
    </xf>
    <xf numFmtId="13" fontId="234" fillId="69" borderId="5" xfId="1227" applyNumberFormat="1" applyFont="1" applyFill="1" applyBorder="1" applyAlignment="1">
      <alignment horizontal="left" vertical="distributed" wrapText="1"/>
    </xf>
    <xf numFmtId="302" fontId="234" fillId="60" borderId="5" xfId="1227" applyNumberFormat="1" applyFont="1" applyFill="1" applyBorder="1" applyAlignment="1">
      <alignment horizontal="left" vertical="distributed" wrapText="1"/>
    </xf>
    <xf numFmtId="43" fontId="234" fillId="68" borderId="5" xfId="1227" applyFont="1" applyFill="1" applyBorder="1" applyAlignment="1">
      <alignment horizontal="left" vertical="distributed" wrapText="1"/>
    </xf>
    <xf numFmtId="302" fontId="0" fillId="60" borderId="5" xfId="0" applyNumberForma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43" fontId="234" fillId="68" borderId="5" xfId="1227" applyFont="1" applyFill="1" applyBorder="1" applyAlignment="1">
      <alignment vertical="distributed" wrapText="1"/>
    </xf>
    <xf numFmtId="302" fontId="234" fillId="69" borderId="5" xfId="1227" applyNumberFormat="1" applyFont="1" applyFill="1" applyBorder="1" applyAlignment="1">
      <alignment horizontal="left" vertical="distributed" wrapText="1"/>
    </xf>
    <xf numFmtId="1" fontId="0" fillId="0" borderId="5" xfId="0" applyNumberFormat="1" applyBorder="1" applyAlignment="1">
      <alignment horizontal="center" wrapText="1"/>
    </xf>
    <xf numFmtId="43" fontId="66" fillId="68" borderId="5" xfId="1227" applyFont="1" applyFill="1" applyBorder="1" applyAlignment="1">
      <alignment horizontal="left" vertical="distributed" wrapText="1"/>
    </xf>
    <xf numFmtId="1" fontId="0" fillId="22" borderId="5" xfId="0" applyNumberFormat="1" applyFill="1" applyBorder="1" applyAlignment="1">
      <alignment horizontal="center" wrapText="1"/>
    </xf>
    <xf numFmtId="12" fontId="234" fillId="69" borderId="5" xfId="1227" applyNumberFormat="1" applyFont="1" applyFill="1" applyBorder="1" applyAlignment="1">
      <alignment horizontal="left" vertical="distributed" wrapText="1"/>
    </xf>
    <xf numFmtId="43" fontId="234" fillId="69" borderId="5" xfId="1227" applyFont="1" applyFill="1" applyBorder="1" applyAlignment="1">
      <alignment horizontal="left" vertical="distributed" wrapText="1"/>
    </xf>
    <xf numFmtId="0" fontId="234" fillId="60" borderId="5" xfId="0" applyFont="1" applyFill="1" applyBorder="1" applyAlignment="1">
      <alignment vertical="distributed" wrapText="1"/>
    </xf>
    <xf numFmtId="43" fontId="237" fillId="68" borderId="5" xfId="1227" applyFont="1" applyFill="1" applyBorder="1"/>
    <xf numFmtId="43" fontId="237" fillId="70" borderId="5" xfId="1227" applyFont="1" applyFill="1" applyBorder="1"/>
    <xf numFmtId="302" fontId="237" fillId="70" borderId="5" xfId="1227" applyNumberFormat="1" applyFont="1" applyFill="1" applyBorder="1"/>
    <xf numFmtId="43" fontId="237" fillId="71" borderId="5" xfId="1227" applyFont="1" applyFill="1" applyBorder="1"/>
    <xf numFmtId="43" fontId="237" fillId="68" borderId="5" xfId="1227" applyFont="1" applyFill="1" applyBorder="1" applyAlignment="1">
      <alignment wrapText="1"/>
    </xf>
    <xf numFmtId="302" fontId="237" fillId="68" borderId="5" xfId="1227" applyNumberFormat="1" applyFont="1" applyFill="1" applyBorder="1"/>
    <xf numFmtId="43" fontId="234" fillId="68" borderId="5" xfId="1227" applyFont="1" applyFill="1" applyBorder="1" applyAlignment="1">
      <alignment horizontal="center" vertical="top" wrapText="1"/>
    </xf>
    <xf numFmtId="43" fontId="237" fillId="68" borderId="5" xfId="1227" applyFont="1" applyFill="1" applyBorder="1" applyAlignment="1">
      <alignment horizontal="center" vertical="top"/>
    </xf>
    <xf numFmtId="0" fontId="234" fillId="68" borderId="5" xfId="0" applyFont="1" applyFill="1" applyBorder="1" applyAlignment="1">
      <alignment horizontal="left" vertical="distributed" wrapText="1"/>
    </xf>
    <xf numFmtId="0" fontId="234" fillId="60" borderId="5" xfId="0" applyFont="1" applyFill="1" applyBorder="1" applyAlignment="1">
      <alignment horizontal="left" vertical="distributed" wrapText="1"/>
    </xf>
    <xf numFmtId="43" fontId="66" fillId="70" borderId="5" xfId="1227" applyFont="1" applyFill="1" applyBorder="1"/>
    <xf numFmtId="43" fontId="66" fillId="71" borderId="5" xfId="1227" applyFont="1" applyFill="1" applyBorder="1"/>
    <xf numFmtId="43" fontId="66" fillId="68" borderId="5" xfId="1227" applyFont="1" applyFill="1" applyBorder="1" applyAlignment="1">
      <alignment wrapText="1"/>
    </xf>
    <xf numFmtId="43" fontId="66" fillId="68" borderId="5" xfId="1227" applyFont="1" applyFill="1" applyBorder="1"/>
    <xf numFmtId="0" fontId="66" fillId="22" borderId="0" xfId="0" applyFont="1" applyFill="1" applyAlignment="1">
      <alignment horizontal="center" wrapText="1"/>
    </xf>
    <xf numFmtId="43" fontId="66" fillId="56" borderId="5" xfId="1227" applyFont="1" applyFill="1" applyBorder="1" applyAlignment="1">
      <alignment wrapText="1"/>
    </xf>
    <xf numFmtId="43" fontId="234" fillId="68" borderId="5" xfId="1227" applyFont="1" applyFill="1" applyBorder="1" applyAlignment="1">
      <alignment vertical="center" wrapText="1"/>
    </xf>
    <xf numFmtId="43" fontId="244" fillId="68" borderId="5" xfId="1227" applyFont="1" applyFill="1" applyBorder="1" applyAlignment="1">
      <alignment vertical="center" wrapText="1"/>
    </xf>
    <xf numFmtId="43" fontId="244" fillId="68" borderId="5" xfId="1227" applyFont="1" applyFill="1" applyBorder="1" applyAlignment="1">
      <alignment horizontal="center" vertical="top" wrapText="1"/>
    </xf>
    <xf numFmtId="302" fontId="234" fillId="68" borderId="5" xfId="1227" applyNumberFormat="1" applyFont="1" applyFill="1" applyBorder="1" applyAlignment="1">
      <alignment horizontal="center" vertical="top" wrapText="1"/>
    </xf>
    <xf numFmtId="302" fontId="237" fillId="56" borderId="5" xfId="1227" applyNumberFormat="1" applyFont="1" applyFill="1" applyBorder="1"/>
    <xf numFmtId="0" fontId="232" fillId="0" borderId="5" xfId="0" applyFont="1" applyBorder="1" applyAlignment="1">
      <alignment horizontal="left" vertical="distributed" wrapText="1"/>
    </xf>
    <xf numFmtId="302" fontId="232" fillId="57" borderId="5" xfId="0" applyNumberFormat="1" applyFont="1" applyFill="1" applyBorder="1" applyAlignment="1">
      <alignment horizontal="left" vertical="distributed"/>
    </xf>
    <xf numFmtId="0" fontId="233" fillId="68" borderId="5" xfId="0" applyFont="1" applyFill="1" applyBorder="1" applyAlignment="1">
      <alignment horizontal="left" vertical="distributed"/>
    </xf>
    <xf numFmtId="302" fontId="234" fillId="68" borderId="5" xfId="1227" applyNumberFormat="1" applyFont="1" applyFill="1" applyBorder="1" applyAlignment="1">
      <alignment vertical="center" wrapText="1"/>
    </xf>
    <xf numFmtId="43" fontId="238" fillId="53" borderId="5" xfId="1227" applyFont="1" applyFill="1" applyBorder="1" applyAlignment="1">
      <alignment horizontal="center" vertical="top" wrapText="1"/>
    </xf>
    <xf numFmtId="1" fontId="0" fillId="0" borderId="0" xfId="0" applyNumberFormat="1"/>
    <xf numFmtId="1" fontId="233" fillId="60" borderId="0" xfId="0" applyNumberFormat="1" applyFont="1" applyFill="1"/>
    <xf numFmtId="302" fontId="233" fillId="61" borderId="0" xfId="0" applyNumberFormat="1" applyFont="1" applyFill="1" applyAlignment="1">
      <alignment horizontal="center"/>
    </xf>
    <xf numFmtId="1" fontId="233" fillId="57" borderId="0" xfId="0" applyNumberFormat="1" applyFont="1" applyFill="1" applyAlignment="1">
      <alignment horizontal="center"/>
    </xf>
    <xf numFmtId="302" fontId="233" fillId="57" borderId="0" xfId="0" applyNumberFormat="1" applyFont="1" applyFill="1" applyAlignment="1">
      <alignment horizontal="center"/>
    </xf>
    <xf numFmtId="1" fontId="233" fillId="60" borderId="0" xfId="0" applyNumberFormat="1" applyFont="1" applyFill="1" applyAlignment="1">
      <alignment horizontal="center"/>
    </xf>
    <xf numFmtId="0" fontId="233" fillId="0" borderId="0" xfId="0" applyFont="1" applyAlignment="1">
      <alignment horizontal="center" wrapText="1"/>
    </xf>
    <xf numFmtId="302" fontId="233" fillId="0" borderId="0" xfId="0" applyNumberFormat="1" applyFont="1" applyAlignment="1">
      <alignment horizontal="center"/>
    </xf>
    <xf numFmtId="0" fontId="233" fillId="0" borderId="0" xfId="0" applyFont="1" applyAlignment="1">
      <alignment horizontal="center"/>
    </xf>
    <xf numFmtId="0" fontId="232" fillId="0" borderId="0" xfId="0" applyFont="1"/>
    <xf numFmtId="43" fontId="238" fillId="66" borderId="5" xfId="1227" applyFont="1" applyFill="1" applyBorder="1" applyAlignment="1">
      <alignment horizontal="left" vertical="top" wrapText="1"/>
    </xf>
    <xf numFmtId="0" fontId="234" fillId="53" borderId="5" xfId="0" applyFont="1" applyFill="1" applyBorder="1" applyAlignment="1">
      <alignment vertical="distributed" wrapText="1"/>
    </xf>
    <xf numFmtId="43" fontId="239" fillId="53" borderId="5" xfId="1227" applyFont="1" applyFill="1" applyBorder="1" applyAlignment="1">
      <alignment vertical="top" wrapText="1"/>
    </xf>
    <xf numFmtId="43" fontId="239" fillId="0" borderId="5" xfId="1227" applyFont="1" applyBorder="1" applyAlignment="1">
      <alignment vertical="top" wrapText="1"/>
    </xf>
    <xf numFmtId="43" fontId="240" fillId="66" borderId="5" xfId="1227" applyFont="1" applyFill="1" applyBorder="1" applyAlignment="1">
      <alignment horizontal="center" vertical="top" wrapText="1"/>
    </xf>
    <xf numFmtId="43" fontId="240" fillId="53" borderId="5" xfId="1227" applyFont="1" applyFill="1" applyBorder="1" applyAlignment="1">
      <alignment horizontal="center" vertical="distributed"/>
    </xf>
    <xf numFmtId="43" fontId="66" fillId="0" borderId="5" xfId="1227" applyFont="1" applyBorder="1"/>
    <xf numFmtId="0" fontId="238" fillId="58" borderId="5" xfId="0" applyFont="1" applyFill="1" applyBorder="1" applyAlignment="1">
      <alignment vertical="distributed" wrapText="1"/>
    </xf>
    <xf numFmtId="43" fontId="237" fillId="58" borderId="5" xfId="1227" applyFont="1" applyFill="1" applyBorder="1"/>
    <xf numFmtId="43" fontId="66" fillId="74" borderId="5" xfId="1227" applyFont="1" applyFill="1" applyBorder="1"/>
    <xf numFmtId="43" fontId="244" fillId="0" borderId="5" xfId="1227" applyFont="1" applyBorder="1"/>
    <xf numFmtId="43" fontId="66" fillId="62" borderId="5" xfId="1227" applyFont="1" applyFill="1" applyBorder="1"/>
    <xf numFmtId="43" fontId="66" fillId="58" borderId="5" xfId="1227" applyFont="1" applyFill="1" applyBorder="1"/>
    <xf numFmtId="43" fontId="251" fillId="68" borderId="5" xfId="1227" applyFont="1" applyFill="1" applyBorder="1" applyAlignment="1">
      <alignment horizontal="center" vertical="top" wrapText="1"/>
    </xf>
    <xf numFmtId="14" fontId="0" fillId="0" borderId="0" xfId="0" applyNumberFormat="1"/>
    <xf numFmtId="2" fontId="0" fillId="0" borderId="0" xfId="0" applyNumberFormat="1"/>
    <xf numFmtId="0" fontId="252" fillId="0" borderId="0" xfId="0" applyFont="1"/>
    <xf numFmtId="0" fontId="253" fillId="0" borderId="0" xfId="0" applyFont="1"/>
    <xf numFmtId="0" fontId="57" fillId="0" borderId="5" xfId="0" applyFont="1" applyBorder="1" applyAlignment="1">
      <alignment vertical="distributed" wrapText="1"/>
    </xf>
    <xf numFmtId="43" fontId="57" fillId="54" borderId="5" xfId="1227" applyFont="1" applyFill="1" applyBorder="1" applyAlignment="1">
      <alignment horizontal="left" vertical="top" wrapText="1"/>
    </xf>
    <xf numFmtId="43" fontId="57" fillId="0" borderId="5" xfId="1227" applyFont="1" applyBorder="1" applyAlignment="1">
      <alignment horizontal="left" vertical="top" wrapText="1"/>
    </xf>
    <xf numFmtId="43" fontId="254" fillId="0" borderId="5" xfId="1227" applyFont="1" applyBorder="1" applyAlignment="1">
      <alignment horizontal="left" vertical="top" wrapText="1"/>
    </xf>
    <xf numFmtId="43" fontId="254" fillId="54" borderId="5" xfId="1227" applyFont="1" applyFill="1" applyBorder="1" applyAlignment="1">
      <alignment horizontal="left" vertical="top" wrapText="1"/>
    </xf>
    <xf numFmtId="0" fontId="252" fillId="56" borderId="5" xfId="0" applyFont="1" applyFill="1" applyBorder="1"/>
    <xf numFmtId="0" fontId="252" fillId="56" borderId="51" xfId="0" applyFont="1" applyFill="1" applyBorder="1"/>
    <xf numFmtId="43" fontId="256" fillId="53" borderId="51" xfId="1227" applyFont="1" applyFill="1" applyBorder="1" applyAlignment="1">
      <alignment horizontal="left" vertical="top"/>
    </xf>
    <xf numFmtId="0" fontId="0" fillId="0" borderId="0" xfId="0" applyAlignment="1">
      <alignment horizontal="right"/>
    </xf>
    <xf numFmtId="43" fontId="234" fillId="62" borderId="5" xfId="1227" applyFont="1" applyFill="1" applyBorder="1" applyAlignment="1">
      <alignment horizontal="center" vertical="top" wrapText="1"/>
    </xf>
    <xf numFmtId="43" fontId="0" fillId="62" borderId="0" xfId="0" applyNumberFormat="1" applyFill="1"/>
    <xf numFmtId="43" fontId="0" fillId="0" borderId="0" xfId="0" quotePrefix="1" applyNumberFormat="1"/>
    <xf numFmtId="0" fontId="252" fillId="54" borderId="1" xfId="0" applyFont="1" applyFill="1" applyBorder="1" applyAlignment="1">
      <alignment horizontal="center" vertical="center"/>
    </xf>
    <xf numFmtId="0" fontId="64" fillId="0" borderId="5" xfId="0" applyFont="1" applyBorder="1" applyAlignment="1">
      <alignment vertical="distributed" wrapText="1"/>
    </xf>
    <xf numFmtId="43" fontId="257" fillId="0" borderId="5" xfId="1227" applyFont="1" applyBorder="1" applyAlignment="1">
      <alignment horizontal="left" vertical="top" wrapText="1"/>
    </xf>
    <xf numFmtId="43" fontId="257" fillId="54" borderId="5" xfId="1227" applyFont="1" applyFill="1" applyBorder="1" applyAlignment="1">
      <alignment horizontal="center" vertical="top" wrapText="1"/>
    </xf>
    <xf numFmtId="43" fontId="66" fillId="66" borderId="5" xfId="1227" applyFont="1" applyFill="1" applyBorder="1"/>
    <xf numFmtId="43" fontId="234" fillId="66" borderId="5" xfId="1227" applyFont="1" applyFill="1" applyBorder="1" applyAlignment="1">
      <alignment horizontal="center" vertical="top" wrapText="1"/>
    </xf>
    <xf numFmtId="43" fontId="258" fillId="54" borderId="5" xfId="1227" applyFont="1" applyFill="1" applyBorder="1" applyAlignment="1">
      <alignment horizontal="left" vertical="top" wrapText="1"/>
    </xf>
    <xf numFmtId="43" fontId="251" fillId="68" borderId="5" xfId="1227" applyFont="1" applyFill="1" applyBorder="1" applyAlignment="1">
      <alignment horizontal="left" vertical="top" wrapText="1"/>
    </xf>
    <xf numFmtId="0" fontId="0" fillId="62" borderId="0" xfId="0" applyFill="1"/>
    <xf numFmtId="303" fontId="0" fillId="62" borderId="0" xfId="0" applyNumberFormat="1" applyFill="1"/>
    <xf numFmtId="0" fontId="238" fillId="0" borderId="5" xfId="0" applyFont="1" applyBorder="1" applyAlignment="1">
      <alignment horizontal="center" vertical="distributed"/>
    </xf>
    <xf numFmtId="43" fontId="238" fillId="53" borderId="5" xfId="0" applyNumberFormat="1" applyFont="1" applyFill="1" applyBorder="1" applyAlignment="1">
      <alignment vertical="distributed" wrapText="1"/>
    </xf>
    <xf numFmtId="0" fontId="0" fillId="54" borderId="5" xfId="0" applyFill="1" applyBorder="1"/>
    <xf numFmtId="43" fontId="66" fillId="75" borderId="5" xfId="1227" applyFont="1" applyFill="1" applyBorder="1"/>
    <xf numFmtId="0" fontId="66" fillId="54" borderId="5" xfId="0" applyFont="1" applyFill="1" applyBorder="1" applyAlignment="1">
      <alignment horizontal="center"/>
    </xf>
    <xf numFmtId="43" fontId="238" fillId="53" borderId="5" xfId="1227" applyFont="1" applyFill="1" applyBorder="1" applyAlignment="1">
      <alignment horizontal="center" vertical="top"/>
    </xf>
    <xf numFmtId="43" fontId="237" fillId="68" borderId="0" xfId="1227" applyFont="1" applyFill="1" applyAlignment="1">
      <alignment wrapText="1"/>
    </xf>
    <xf numFmtId="43" fontId="237" fillId="68" borderId="0" xfId="1227" applyFont="1" applyFill="1"/>
    <xf numFmtId="0" fontId="233" fillId="55" borderId="5" xfId="0" applyFont="1" applyFill="1" applyBorder="1" applyAlignment="1">
      <alignment vertical="center" wrapText="1"/>
    </xf>
    <xf numFmtId="0" fontId="66" fillId="59" borderId="5" xfId="0" applyFont="1" applyFill="1" applyBorder="1" applyAlignment="1">
      <alignment horizontal="center"/>
    </xf>
    <xf numFmtId="0" fontId="238" fillId="68" borderId="5" xfId="0" applyFont="1" applyFill="1" applyBorder="1" applyAlignment="1">
      <alignment vertical="distributed" wrapText="1"/>
    </xf>
    <xf numFmtId="0" fontId="238" fillId="68" borderId="5" xfId="0" applyFont="1" applyFill="1" applyBorder="1" applyAlignment="1">
      <alignment horizontal="center" vertical="distributed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34" fillId="68" borderId="5" xfId="0" applyFont="1" applyFill="1" applyBorder="1" applyAlignment="1">
      <alignment vertical="center" wrapText="1"/>
    </xf>
    <xf numFmtId="0" fontId="238" fillId="68" borderId="5" xfId="0" applyFont="1" applyFill="1" applyBorder="1" applyAlignment="1">
      <alignment horizontal="center" vertical="center" wrapText="1"/>
    </xf>
    <xf numFmtId="0" fontId="66" fillId="60" borderId="5" xfId="0" applyFont="1" applyFill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62" borderId="0" xfId="0" applyFill="1" applyAlignment="1">
      <alignment vertical="center"/>
    </xf>
    <xf numFmtId="0" fontId="0" fillId="62" borderId="0" xfId="0" applyFill="1" applyAlignment="1">
      <alignment vertical="center" wrapText="1"/>
    </xf>
    <xf numFmtId="43" fontId="0" fillId="0" borderId="0" xfId="0" applyNumberFormat="1" applyAlignment="1">
      <alignment vertical="center"/>
    </xf>
    <xf numFmtId="43" fontId="234" fillId="54" borderId="5" xfId="1227" applyFont="1" applyFill="1" applyBorder="1" applyAlignment="1">
      <alignment horizontal="center" vertical="center" wrapText="1"/>
    </xf>
    <xf numFmtId="43" fontId="237" fillId="53" borderId="5" xfId="1227" applyFont="1" applyFill="1" applyBorder="1" applyAlignment="1">
      <alignment horizontal="center" vertical="center"/>
    </xf>
    <xf numFmtId="0" fontId="244" fillId="58" borderId="5" xfId="0" applyFont="1" applyFill="1" applyBorder="1" applyAlignment="1">
      <alignment vertical="distributed" wrapText="1"/>
    </xf>
    <xf numFmtId="0" fontId="234" fillId="54" borderId="51" xfId="0" applyFont="1" applyFill="1" applyBorder="1" applyAlignment="1">
      <alignment vertical="distributed" wrapText="1"/>
    </xf>
    <xf numFmtId="43" fontId="234" fillId="54" borderId="51" xfId="1227" applyFont="1" applyFill="1" applyBorder="1" applyAlignment="1">
      <alignment horizontal="center" vertical="center" wrapText="1"/>
    </xf>
    <xf numFmtId="43" fontId="237" fillId="53" borderId="51" xfId="1227" applyFont="1" applyFill="1" applyBorder="1" applyAlignment="1">
      <alignment horizontal="center" vertical="center"/>
    </xf>
    <xf numFmtId="0" fontId="244" fillId="58" borderId="51" xfId="0" applyFont="1" applyFill="1" applyBorder="1" applyAlignment="1">
      <alignment vertical="distributed" wrapText="1"/>
    </xf>
    <xf numFmtId="43" fontId="244" fillId="62" borderId="51" xfId="1227" applyFont="1" applyFill="1" applyBorder="1" applyAlignment="1">
      <alignment horizontal="center" vertical="center" wrapText="1"/>
    </xf>
    <xf numFmtId="0" fontId="0" fillId="56" borderId="51" xfId="0" applyFill="1" applyBorder="1"/>
    <xf numFmtId="43" fontId="237" fillId="53" borderId="51" xfId="1227" applyFont="1" applyFill="1" applyBorder="1" applyAlignment="1">
      <alignment horizontal="center" vertical="top"/>
    </xf>
    <xf numFmtId="0" fontId="234" fillId="54" borderId="1" xfId="0" applyFont="1" applyFill="1" applyBorder="1" applyAlignment="1">
      <alignment vertical="distributed" wrapText="1"/>
    </xf>
    <xf numFmtId="0" fontId="241" fillId="76" borderId="5" xfId="0" applyFont="1" applyFill="1" applyBorder="1" applyAlignment="1">
      <alignment horizontal="center" vertical="center" wrapText="1"/>
    </xf>
    <xf numFmtId="0" fontId="0" fillId="0" borderId="5" xfId="0" applyBorder="1"/>
    <xf numFmtId="302" fontId="0" fillId="0" borderId="5" xfId="1227" applyNumberFormat="1" applyFont="1" applyBorder="1"/>
    <xf numFmtId="9" fontId="0" fillId="0" borderId="5" xfId="1172" applyFont="1" applyBorder="1"/>
    <xf numFmtId="43" fontId="0" fillId="0" borderId="5" xfId="0" applyNumberFormat="1" applyBorder="1"/>
    <xf numFmtId="302" fontId="0" fillId="0" borderId="5" xfId="0" applyNumberFormat="1" applyBorder="1"/>
    <xf numFmtId="302" fontId="241" fillId="68" borderId="5" xfId="1227" applyNumberFormat="1" applyFont="1" applyFill="1" applyBorder="1"/>
    <xf numFmtId="9" fontId="241" fillId="68" borderId="5" xfId="0" applyNumberFormat="1" applyFont="1" applyFill="1" applyBorder="1"/>
    <xf numFmtId="0" fontId="241" fillId="68" borderId="5" xfId="0" applyFont="1" applyFill="1" applyBorder="1" applyAlignment="1">
      <alignment horizontal="right"/>
    </xf>
    <xf numFmtId="43" fontId="241" fillId="68" borderId="5" xfId="0" applyNumberFormat="1" applyFont="1" applyFill="1" applyBorder="1"/>
    <xf numFmtId="302" fontId="241" fillId="68" borderId="5" xfId="0" applyNumberFormat="1" applyFont="1" applyFill="1" applyBorder="1"/>
    <xf numFmtId="0" fontId="260" fillId="0" borderId="0" xfId="0" applyFont="1" applyAlignment="1">
      <alignment horizontal="center" vertical="center" wrapText="1"/>
    </xf>
    <xf numFmtId="0" fontId="260" fillId="65" borderId="60" xfId="0" applyFont="1" applyFill="1" applyBorder="1" applyAlignment="1">
      <alignment horizontal="center" vertical="center" wrapText="1"/>
    </xf>
    <xf numFmtId="0" fontId="260" fillId="65" borderId="5" xfId="0" applyFont="1" applyFill="1" applyBorder="1" applyAlignment="1">
      <alignment horizontal="center" vertical="center" wrapText="1"/>
    </xf>
    <xf numFmtId="0" fontId="260" fillId="65" borderId="61" xfId="0" applyFont="1" applyFill="1" applyBorder="1" applyAlignment="1">
      <alignment horizontal="center" vertical="center" wrapText="1"/>
    </xf>
    <xf numFmtId="0" fontId="260" fillId="68" borderId="60" xfId="0" applyFont="1" applyFill="1" applyBorder="1" applyAlignment="1">
      <alignment horizontal="center" vertical="center" wrapText="1"/>
    </xf>
    <xf numFmtId="0" fontId="260" fillId="68" borderId="5" xfId="0" applyFont="1" applyFill="1" applyBorder="1" applyAlignment="1">
      <alignment horizontal="center" vertical="center" wrapText="1"/>
    </xf>
    <xf numFmtId="0" fontId="260" fillId="68" borderId="61" xfId="0" applyFont="1" applyFill="1" applyBorder="1" applyAlignment="1">
      <alignment horizontal="center" vertical="center" wrapText="1"/>
    </xf>
    <xf numFmtId="0" fontId="260" fillId="57" borderId="60" xfId="0" applyFont="1" applyFill="1" applyBorder="1" applyAlignment="1">
      <alignment horizontal="center" vertical="center" wrapText="1"/>
    </xf>
    <xf numFmtId="0" fontId="260" fillId="57" borderId="5" xfId="0" applyFont="1" applyFill="1" applyBorder="1" applyAlignment="1">
      <alignment horizontal="center" vertical="center" wrapText="1"/>
    </xf>
    <xf numFmtId="0" fontId="260" fillId="57" borderId="61" xfId="0" applyFont="1" applyFill="1" applyBorder="1" applyAlignment="1">
      <alignment horizontal="center" vertical="center" wrapText="1"/>
    </xf>
    <xf numFmtId="0" fontId="261" fillId="0" borderId="0" xfId="0" applyFont="1"/>
    <xf numFmtId="0" fontId="262" fillId="65" borderId="62" xfId="0" applyFont="1" applyFill="1" applyBorder="1" applyAlignment="1">
      <alignment vertical="distributed" wrapText="1"/>
    </xf>
    <xf numFmtId="43" fontId="261" fillId="65" borderId="63" xfId="0" applyNumberFormat="1" applyFont="1" applyFill="1" applyBorder="1" applyAlignment="1">
      <alignment horizontal="right" vertical="center"/>
    </xf>
    <xf numFmtId="0" fontId="261" fillId="65" borderId="63" xfId="0" applyFont="1" applyFill="1" applyBorder="1" applyAlignment="1">
      <alignment horizontal="right" vertical="center"/>
    </xf>
    <xf numFmtId="0" fontId="261" fillId="65" borderId="64" xfId="0" applyFont="1" applyFill="1" applyBorder="1" applyAlignment="1">
      <alignment horizontal="right" vertical="center"/>
    </xf>
    <xf numFmtId="43" fontId="261" fillId="68" borderId="62" xfId="0" applyNumberFormat="1" applyFont="1" applyFill="1" applyBorder="1" applyAlignment="1">
      <alignment horizontal="right" vertical="center"/>
    </xf>
    <xf numFmtId="0" fontId="261" fillId="68" borderId="63" xfId="0" applyFont="1" applyFill="1" applyBorder="1" applyAlignment="1">
      <alignment horizontal="right" vertical="center"/>
    </xf>
    <xf numFmtId="0" fontId="261" fillId="68" borderId="64" xfId="0" applyFont="1" applyFill="1" applyBorder="1" applyAlignment="1">
      <alignment horizontal="right" vertical="center"/>
    </xf>
    <xf numFmtId="43" fontId="263" fillId="57" borderId="62" xfId="0" applyNumberFormat="1" applyFont="1" applyFill="1" applyBorder="1" applyAlignment="1">
      <alignment horizontal="right" vertical="center"/>
    </xf>
    <xf numFmtId="0" fontId="261" fillId="57" borderId="63" xfId="0" applyFont="1" applyFill="1" applyBorder="1" applyAlignment="1">
      <alignment horizontal="right" vertical="center"/>
    </xf>
    <xf numFmtId="0" fontId="260" fillId="57" borderId="64" xfId="0" applyFont="1" applyFill="1" applyBorder="1" applyAlignment="1">
      <alignment horizontal="right" vertical="center"/>
    </xf>
    <xf numFmtId="0" fontId="0" fillId="0" borderId="33" xfId="0" applyBorder="1"/>
    <xf numFmtId="0" fontId="0" fillId="0" borderId="65" xfId="0" applyBorder="1"/>
    <xf numFmtId="0" fontId="264" fillId="0" borderId="33" xfId="0" applyFont="1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261" fillId="0" borderId="0" xfId="0" applyFont="1" applyAlignment="1">
      <alignment horizontal="center" vertical="center" wrapText="1"/>
    </xf>
    <xf numFmtId="0" fontId="260" fillId="76" borderId="66" xfId="0" applyFont="1" applyFill="1" applyBorder="1" applyAlignment="1">
      <alignment horizontal="center" vertical="center" wrapText="1"/>
    </xf>
    <xf numFmtId="0" fontId="260" fillId="76" borderId="60" xfId="0" applyFont="1" applyFill="1" applyBorder="1" applyAlignment="1">
      <alignment horizontal="center" vertical="center" wrapText="1"/>
    </xf>
    <xf numFmtId="0" fontId="260" fillId="76" borderId="5" xfId="0" applyFont="1" applyFill="1" applyBorder="1" applyAlignment="1">
      <alignment horizontal="center" vertical="center" wrapText="1"/>
    </xf>
    <xf numFmtId="0" fontId="260" fillId="76" borderId="50" xfId="0" applyFont="1" applyFill="1" applyBorder="1" applyAlignment="1">
      <alignment horizontal="center" vertical="center" wrapText="1"/>
    </xf>
    <xf numFmtId="0" fontId="260" fillId="77" borderId="60" xfId="0" applyFont="1" applyFill="1" applyBorder="1" applyAlignment="1">
      <alignment horizontal="center" vertical="center" wrapText="1"/>
    </xf>
    <xf numFmtId="0" fontId="260" fillId="77" borderId="5" xfId="0" applyFont="1" applyFill="1" applyBorder="1" applyAlignment="1">
      <alignment horizontal="center" vertical="center" wrapText="1"/>
    </xf>
    <xf numFmtId="0" fontId="260" fillId="77" borderId="61" xfId="0" applyFont="1" applyFill="1" applyBorder="1" applyAlignment="1">
      <alignment horizontal="center" vertical="center" wrapText="1"/>
    </xf>
    <xf numFmtId="0" fontId="260" fillId="57" borderId="40" xfId="0" applyFont="1" applyFill="1" applyBorder="1" applyAlignment="1">
      <alignment horizontal="center" vertical="center" wrapText="1"/>
    </xf>
    <xf numFmtId="0" fontId="261" fillId="0" borderId="67" xfId="0" applyFont="1" applyBorder="1" applyAlignment="1">
      <alignment wrapText="1"/>
    </xf>
    <xf numFmtId="43" fontId="261" fillId="0" borderId="62" xfId="0" applyNumberFormat="1" applyFont="1" applyBorder="1" applyAlignment="1">
      <alignment horizontal="right" vertical="center"/>
    </xf>
    <xf numFmtId="0" fontId="261" fillId="0" borderId="63" xfId="0" applyFont="1" applyBorder="1" applyAlignment="1">
      <alignment horizontal="right" vertical="center"/>
    </xf>
    <xf numFmtId="0" fontId="261" fillId="0" borderId="68" xfId="0" applyFont="1" applyBorder="1" applyAlignment="1">
      <alignment horizontal="right" vertical="center"/>
    </xf>
    <xf numFmtId="43" fontId="261" fillId="54" borderId="62" xfId="0" applyNumberFormat="1" applyFont="1" applyFill="1" applyBorder="1" applyAlignment="1">
      <alignment horizontal="right" vertical="center"/>
    </xf>
    <xf numFmtId="0" fontId="261" fillId="54" borderId="63" xfId="0" applyFont="1" applyFill="1" applyBorder="1" applyAlignment="1">
      <alignment horizontal="right" vertical="center"/>
    </xf>
    <xf numFmtId="0" fontId="261" fillId="54" borderId="64" xfId="0" applyFont="1" applyFill="1" applyBorder="1" applyAlignment="1">
      <alignment horizontal="right" vertical="center"/>
    </xf>
    <xf numFmtId="43" fontId="263" fillId="57" borderId="69" xfId="0" applyNumberFormat="1" applyFont="1" applyFill="1" applyBorder="1" applyAlignment="1">
      <alignment horizontal="right" vertical="center"/>
    </xf>
    <xf numFmtId="0" fontId="233" fillId="53" borderId="5" xfId="0" applyFont="1" applyFill="1" applyBorder="1" applyAlignment="1">
      <alignment horizontal="center" vertical="center"/>
    </xf>
    <xf numFmtId="0" fontId="57" fillId="74" borderId="5" xfId="0" applyFont="1" applyFill="1" applyBorder="1" applyAlignment="1">
      <alignment horizontal="left" vertical="distributed" wrapText="1"/>
    </xf>
    <xf numFmtId="43" fontId="234" fillId="74" borderId="5" xfId="1227" applyFont="1" applyFill="1" applyBorder="1" applyAlignment="1">
      <alignment horizontal="left" vertical="top" wrapText="1"/>
    </xf>
    <xf numFmtId="43" fontId="237" fillId="53" borderId="5" xfId="1227" applyFont="1" applyFill="1" applyBorder="1" applyAlignment="1">
      <alignment horizontal="left" vertical="top"/>
    </xf>
    <xf numFmtId="43" fontId="238" fillId="53" borderId="5" xfId="1227" applyFont="1" applyFill="1" applyBorder="1" applyAlignment="1">
      <alignment horizontal="left" vertical="top"/>
    </xf>
    <xf numFmtId="43" fontId="234" fillId="74" borderId="51" xfId="1227" applyFont="1" applyFill="1" applyBorder="1" applyAlignment="1">
      <alignment horizontal="left" vertical="top" wrapText="1"/>
    </xf>
    <xf numFmtId="43" fontId="237" fillId="53" borderId="51" xfId="1227" applyFont="1" applyFill="1" applyBorder="1" applyAlignment="1">
      <alignment horizontal="left" vertical="top"/>
    </xf>
    <xf numFmtId="43" fontId="238" fillId="53" borderId="51" xfId="1227" applyFont="1" applyFill="1" applyBorder="1" applyAlignment="1">
      <alignment horizontal="left" vertical="top"/>
    </xf>
    <xf numFmtId="0" fontId="57" fillId="54" borderId="5" xfId="0" applyFont="1" applyFill="1" applyBorder="1" applyAlignment="1">
      <alignment horizontal="left" vertical="distributed" wrapText="1"/>
    </xf>
    <xf numFmtId="1" fontId="234" fillId="0" borderId="5" xfId="0" applyNumberFormat="1" applyFont="1" applyBorder="1" applyAlignment="1">
      <alignment horizontal="left" vertical="top" wrapText="1"/>
    </xf>
    <xf numFmtId="1" fontId="237" fillId="53" borderId="5" xfId="0" applyNumberFormat="1" applyFont="1" applyFill="1" applyBorder="1" applyAlignment="1">
      <alignment horizontal="left" vertical="top"/>
    </xf>
    <xf numFmtId="1" fontId="237" fillId="53" borderId="51" xfId="0" applyNumberFormat="1" applyFont="1" applyFill="1" applyBorder="1" applyAlignment="1">
      <alignment horizontal="left" vertical="top"/>
    </xf>
    <xf numFmtId="1" fontId="234" fillId="54" borderId="5" xfId="0" applyNumberFormat="1" applyFont="1" applyFill="1" applyBorder="1" applyAlignment="1">
      <alignment horizontal="left" vertical="top" wrapText="1"/>
    </xf>
    <xf numFmtId="1" fontId="234" fillId="54" borderId="5" xfId="847" applyNumberFormat="1" applyFont="1" applyFill="1" applyBorder="1" applyAlignment="1">
      <alignment horizontal="left" vertical="top" wrapText="1"/>
    </xf>
    <xf numFmtId="0" fontId="0" fillId="56" borderId="5" xfId="0" applyFill="1" applyBorder="1"/>
    <xf numFmtId="0" fontId="234" fillId="0" borderId="5" xfId="0" applyFont="1" applyBorder="1" applyAlignment="1">
      <alignment vertical="center" wrapText="1"/>
    </xf>
    <xf numFmtId="1" fontId="234" fillId="0" borderId="5" xfId="847" applyNumberFormat="1" applyFont="1" applyBorder="1" applyAlignment="1">
      <alignment horizontal="left" vertical="top" wrapText="1"/>
    </xf>
    <xf numFmtId="1" fontId="237" fillId="66" borderId="5" xfId="0" applyNumberFormat="1" applyFont="1" applyFill="1" applyBorder="1" applyAlignment="1">
      <alignment horizontal="left" vertical="top"/>
    </xf>
    <xf numFmtId="0" fontId="0" fillId="66" borderId="5" xfId="0" applyFill="1" applyBorder="1"/>
    <xf numFmtId="1" fontId="234" fillId="66" borderId="5" xfId="847" applyNumberFormat="1" applyFont="1" applyFill="1" applyBorder="1" applyAlignment="1">
      <alignment horizontal="left" vertical="top" wrapText="1"/>
    </xf>
    <xf numFmtId="0" fontId="266" fillId="0" borderId="5" xfId="1037" applyFont="1" applyBorder="1" applyAlignment="1">
      <alignment wrapText="1"/>
    </xf>
    <xf numFmtId="1" fontId="234" fillId="54" borderId="50" xfId="0" applyNumberFormat="1" applyFont="1" applyFill="1" applyBorder="1" applyAlignment="1">
      <alignment horizontal="left" vertical="top" wrapText="1"/>
    </xf>
    <xf numFmtId="0" fontId="266" fillId="0" borderId="51" xfId="1037" applyFont="1" applyBorder="1" applyAlignment="1">
      <alignment wrapText="1"/>
    </xf>
    <xf numFmtId="1" fontId="237" fillId="53" borderId="1" xfId="0" applyNumberFormat="1" applyFont="1" applyFill="1" applyBorder="1" applyAlignment="1">
      <alignment horizontal="left" vertical="top"/>
    </xf>
    <xf numFmtId="0" fontId="249" fillId="53" borderId="39" xfId="0" applyFont="1" applyFill="1" applyBorder="1" applyAlignment="1">
      <alignment horizontal="center" vertical="center" wrapText="1"/>
    </xf>
    <xf numFmtId="0" fontId="248" fillId="78" borderId="52" xfId="0" applyFont="1" applyFill="1" applyBorder="1" applyAlignment="1">
      <alignment horizontal="center" vertical="center"/>
    </xf>
    <xf numFmtId="0" fontId="121" fillId="53" borderId="39" xfId="0" applyFont="1" applyFill="1" applyBorder="1" applyAlignment="1">
      <alignment horizontal="center" vertical="center" wrapText="1"/>
    </xf>
    <xf numFmtId="0" fontId="121" fillId="53" borderId="70" xfId="0" applyFont="1" applyFill="1" applyBorder="1" applyAlignment="1">
      <alignment horizontal="center" vertical="center" wrapText="1"/>
    </xf>
    <xf numFmtId="0" fontId="233" fillId="54" borderId="0" xfId="0" applyFont="1" applyFill="1" applyAlignment="1">
      <alignment horizontal="center" vertical="center" wrapText="1"/>
    </xf>
    <xf numFmtId="0" fontId="233" fillId="54" borderId="0" xfId="0" applyFont="1" applyFill="1" applyAlignment="1">
      <alignment horizontal="center" vertical="center"/>
    </xf>
    <xf numFmtId="0" fontId="233" fillId="54" borderId="37" xfId="0" applyFont="1" applyFill="1" applyBorder="1" applyAlignment="1">
      <alignment horizontal="center" vertical="center"/>
    </xf>
    <xf numFmtId="0" fontId="242" fillId="53" borderId="5" xfId="0" applyFont="1" applyFill="1" applyBorder="1" applyAlignment="1">
      <alignment horizontal="center" vertical="center" wrapText="1"/>
    </xf>
    <xf numFmtId="0" fontId="234" fillId="54" borderId="5" xfId="0" applyFont="1" applyFill="1" applyBorder="1" applyAlignment="1">
      <alignment horizontal="center" vertical="center"/>
    </xf>
    <xf numFmtId="0" fontId="233" fillId="55" borderId="50" xfId="0" applyFont="1" applyFill="1" applyBorder="1" applyAlignment="1">
      <alignment horizontal="left" wrapText="1"/>
    </xf>
    <xf numFmtId="0" fontId="233" fillId="55" borderId="32" xfId="0" applyFont="1" applyFill="1" applyBorder="1" applyAlignment="1">
      <alignment horizontal="left" wrapText="1"/>
    </xf>
    <xf numFmtId="0" fontId="233" fillId="55" borderId="40" xfId="0" applyFont="1" applyFill="1" applyBorder="1" applyAlignment="1">
      <alignment horizontal="left" wrapText="1"/>
    </xf>
    <xf numFmtId="0" fontId="234" fillId="0" borderId="5" xfId="0" applyFont="1" applyBorder="1" applyAlignment="1">
      <alignment horizontal="center" vertical="center"/>
    </xf>
    <xf numFmtId="0" fontId="0" fillId="0" borderId="45" xfId="0" applyBorder="1" applyAlignment="1">
      <alignment horizontal="center" vertical="top" wrapText="1"/>
    </xf>
    <xf numFmtId="0" fontId="233" fillId="55" borderId="50" xfId="0" applyFont="1" applyFill="1" applyBorder="1" applyAlignment="1">
      <alignment horizontal="left" vertical="center" wrapText="1"/>
    </xf>
    <xf numFmtId="0" fontId="233" fillId="55" borderId="32" xfId="0" applyFont="1" applyFill="1" applyBorder="1" applyAlignment="1">
      <alignment horizontal="left" vertical="center" wrapText="1"/>
    </xf>
    <xf numFmtId="0" fontId="233" fillId="55" borderId="40" xfId="0" applyFont="1" applyFill="1" applyBorder="1" applyAlignment="1">
      <alignment horizontal="left" vertical="center" wrapText="1"/>
    </xf>
    <xf numFmtId="0" fontId="0" fillId="0" borderId="51" xfId="0" applyBorder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0" fillId="0" borderId="5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9" xfId="0" applyBorder="1" applyAlignment="1">
      <alignment horizontal="center" vertical="top" wrapText="1"/>
    </xf>
    <xf numFmtId="0" fontId="0" fillId="54" borderId="5" xfId="0" applyFill="1" applyBorder="1" applyAlignment="1">
      <alignment horizontal="center" vertical="center"/>
    </xf>
    <xf numFmtId="0" fontId="233" fillId="55" borderId="5" xfId="0" applyFont="1" applyFill="1" applyBorder="1" applyAlignment="1">
      <alignment horizontal="left" vertical="top" wrapText="1"/>
    </xf>
    <xf numFmtId="0" fontId="233" fillId="55" borderId="5" xfId="0" applyFont="1" applyFill="1" applyBorder="1" applyAlignment="1">
      <alignment horizontal="left" vertical="top"/>
    </xf>
    <xf numFmtId="0" fontId="0" fillId="0" borderId="45" xfId="0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233" fillId="55" borderId="5" xfId="0" applyFont="1" applyFill="1" applyBorder="1" applyAlignment="1">
      <alignment horizontal="left" vertical="center" wrapText="1"/>
    </xf>
    <xf numFmtId="0" fontId="233" fillId="55" borderId="5" xfId="0" applyFont="1" applyFill="1" applyBorder="1" applyAlignment="1">
      <alignment horizontal="left" vertical="center"/>
    </xf>
    <xf numFmtId="0" fontId="234" fillId="0" borderId="5" xfId="0" applyFont="1" applyBorder="1" applyAlignment="1">
      <alignment horizontal="center" vertical="distributed"/>
    </xf>
    <xf numFmtId="0" fontId="233" fillId="55" borderId="50" xfId="0" applyFont="1" applyFill="1" applyBorder="1" applyAlignment="1">
      <alignment horizontal="left" vertical="top" wrapText="1"/>
    </xf>
    <xf numFmtId="0" fontId="233" fillId="55" borderId="32" xfId="0" applyFont="1" applyFill="1" applyBorder="1" applyAlignment="1">
      <alignment horizontal="left" vertical="top" wrapText="1"/>
    </xf>
    <xf numFmtId="0" fontId="233" fillId="55" borderId="40" xfId="0" applyFont="1" applyFill="1" applyBorder="1" applyAlignment="1">
      <alignment horizontal="left" vertical="top" wrapText="1"/>
    </xf>
    <xf numFmtId="0" fontId="235" fillId="55" borderId="50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233" fillId="72" borderId="50" xfId="0" applyFont="1" applyFill="1" applyBorder="1" applyAlignment="1">
      <alignment horizontal="left" vertical="distributed" wrapText="1"/>
    </xf>
    <xf numFmtId="0" fontId="233" fillId="72" borderId="32" xfId="0" applyFont="1" applyFill="1" applyBorder="1" applyAlignment="1">
      <alignment horizontal="left" vertical="distributed" wrapText="1"/>
    </xf>
    <xf numFmtId="0" fontId="233" fillId="72" borderId="40" xfId="0" applyFont="1" applyFill="1" applyBorder="1" applyAlignment="1">
      <alignment horizontal="left" vertical="distributed" wrapText="1"/>
    </xf>
    <xf numFmtId="0" fontId="242" fillId="53" borderId="50" xfId="0" applyFont="1" applyFill="1" applyBorder="1" applyAlignment="1">
      <alignment horizontal="center" vertical="center" wrapText="1"/>
    </xf>
    <xf numFmtId="0" fontId="242" fillId="53" borderId="40" xfId="0" applyFont="1" applyFill="1" applyBorder="1" applyAlignment="1">
      <alignment horizontal="center" vertical="center" wrapText="1"/>
    </xf>
    <xf numFmtId="0" fontId="234" fillId="54" borderId="51" xfId="0" applyFont="1" applyFill="1" applyBorder="1" applyAlignment="1">
      <alignment horizontal="center" vertical="center"/>
    </xf>
    <xf numFmtId="0" fontId="234" fillId="54" borderId="1" xfId="0" applyFont="1" applyFill="1" applyBorder="1" applyAlignment="1">
      <alignment horizontal="center" vertical="center"/>
    </xf>
    <xf numFmtId="0" fontId="234" fillId="54" borderId="49" xfId="0" applyFont="1" applyFill="1" applyBorder="1" applyAlignment="1">
      <alignment horizontal="center" vertical="center"/>
    </xf>
    <xf numFmtId="0" fontId="232" fillId="53" borderId="50" xfId="0" applyFont="1" applyFill="1" applyBorder="1" applyAlignment="1">
      <alignment horizontal="left" wrapText="1"/>
    </xf>
    <xf numFmtId="0" fontId="232" fillId="53" borderId="32" xfId="0" applyFont="1" applyFill="1" applyBorder="1" applyAlignment="1">
      <alignment horizontal="left" wrapText="1"/>
    </xf>
    <xf numFmtId="0" fontId="232" fillId="53" borderId="40" xfId="0" applyFont="1" applyFill="1" applyBorder="1" applyAlignment="1">
      <alignment horizontal="left" wrapText="1"/>
    </xf>
    <xf numFmtId="0" fontId="234" fillId="0" borderId="51" xfId="0" applyFont="1" applyBorder="1" applyAlignment="1">
      <alignment horizontal="center" vertical="center"/>
    </xf>
    <xf numFmtId="0" fontId="234" fillId="0" borderId="1" xfId="0" applyFont="1" applyBorder="1" applyAlignment="1">
      <alignment horizontal="center" vertical="center"/>
    </xf>
    <xf numFmtId="0" fontId="234" fillId="0" borderId="49" xfId="0" applyFont="1" applyBorder="1" applyAlignment="1">
      <alignment horizontal="center" vertical="center"/>
    </xf>
    <xf numFmtId="0" fontId="236" fillId="53" borderId="5" xfId="0" applyFont="1" applyFill="1" applyBorder="1" applyAlignment="1">
      <alignment horizontal="left" vertical="distributed"/>
    </xf>
    <xf numFmtId="0" fontId="0" fillId="0" borderId="39" xfId="0" applyBorder="1" applyAlignment="1">
      <alignment horizontal="center" vertical="center"/>
    </xf>
    <xf numFmtId="0" fontId="233" fillId="55" borderId="5" xfId="0" applyFont="1" applyFill="1" applyBorder="1" applyAlignment="1">
      <alignment horizontal="left" vertical="distributed" wrapText="1"/>
    </xf>
    <xf numFmtId="0" fontId="233" fillId="55" borderId="5" xfId="0" applyFont="1" applyFill="1" applyBorder="1" applyAlignment="1">
      <alignment horizontal="left" vertical="distributed"/>
    </xf>
    <xf numFmtId="0" fontId="233" fillId="55" borderId="5" xfId="0" applyFont="1" applyFill="1" applyBorder="1" applyAlignment="1">
      <alignment horizontal="left" wrapText="1"/>
    </xf>
    <xf numFmtId="0" fontId="233" fillId="55" borderId="5" xfId="0" applyFont="1" applyFill="1" applyBorder="1" applyAlignment="1">
      <alignment horizontal="left"/>
    </xf>
    <xf numFmtId="0" fontId="57" fillId="0" borderId="5" xfId="0" applyFont="1" applyBorder="1" applyAlignment="1">
      <alignment horizontal="center" vertical="center"/>
    </xf>
    <xf numFmtId="0" fontId="255" fillId="68" borderId="5" xfId="0" applyFont="1" applyFill="1" applyBorder="1" applyAlignment="1">
      <alignment horizontal="left" wrapText="1"/>
    </xf>
    <xf numFmtId="0" fontId="255" fillId="68" borderId="5" xfId="0" applyFont="1" applyFill="1" applyBorder="1" applyAlignment="1">
      <alignment horizontal="left"/>
    </xf>
    <xf numFmtId="0" fontId="252" fillId="54" borderId="51" xfId="0" applyFont="1" applyFill="1" applyBorder="1" applyAlignment="1">
      <alignment horizontal="center" vertical="center"/>
    </xf>
    <xf numFmtId="0" fontId="252" fillId="54" borderId="1" xfId="0" applyFont="1" applyFill="1" applyBorder="1" applyAlignment="1">
      <alignment horizontal="center" vertical="center"/>
    </xf>
    <xf numFmtId="0" fontId="252" fillId="54" borderId="49" xfId="0" applyFont="1" applyFill="1" applyBorder="1" applyAlignment="1">
      <alignment horizontal="center" vertical="center"/>
    </xf>
    <xf numFmtId="0" fontId="259" fillId="68" borderId="5" xfId="0" applyFont="1" applyFill="1" applyBorder="1" applyAlignment="1">
      <alignment horizontal="left" wrapText="1"/>
    </xf>
    <xf numFmtId="0" fontId="259" fillId="68" borderId="5" xfId="0" applyFont="1" applyFill="1" applyBorder="1" applyAlignment="1">
      <alignment horizontal="left"/>
    </xf>
    <xf numFmtId="0" fontId="255" fillId="53" borderId="50" xfId="0" applyFont="1" applyFill="1" applyBorder="1" applyAlignment="1">
      <alignment horizontal="left" vertical="center" wrapText="1"/>
    </xf>
    <xf numFmtId="0" fontId="255" fillId="53" borderId="32" xfId="0" applyFont="1" applyFill="1" applyBorder="1" applyAlignment="1">
      <alignment horizontal="left" vertical="center" wrapText="1"/>
    </xf>
    <xf numFmtId="0" fontId="255" fillId="53" borderId="40" xfId="0" applyFont="1" applyFill="1" applyBorder="1" applyAlignment="1">
      <alignment horizontal="left" vertical="center" wrapText="1"/>
    </xf>
    <xf numFmtId="0" fontId="232" fillId="54" borderId="0" xfId="0" applyFont="1" applyFill="1" applyAlignment="1">
      <alignment horizontal="right"/>
    </xf>
    <xf numFmtId="0" fontId="241" fillId="76" borderId="5" xfId="0" applyFont="1" applyFill="1" applyBorder="1" applyAlignment="1">
      <alignment horizontal="center" vertical="center" wrapText="1"/>
    </xf>
    <xf numFmtId="0" fontId="241" fillId="76" borderId="5" xfId="0" applyFont="1" applyFill="1" applyBorder="1" applyAlignment="1">
      <alignment horizontal="center"/>
    </xf>
    <xf numFmtId="0" fontId="241" fillId="76" borderId="5" xfId="0" applyFont="1" applyFill="1" applyBorder="1" applyAlignment="1">
      <alignment horizontal="center" wrapText="1"/>
    </xf>
    <xf numFmtId="0" fontId="241" fillId="68" borderId="50" xfId="0" applyFont="1" applyFill="1" applyBorder="1" applyAlignment="1">
      <alignment horizontal="right"/>
    </xf>
    <xf numFmtId="0" fontId="241" fillId="68" borderId="40" xfId="0" applyFont="1" applyFill="1" applyBorder="1" applyAlignment="1">
      <alignment horizontal="right"/>
    </xf>
    <xf numFmtId="0" fontId="233" fillId="59" borderId="55" xfId="0" applyFont="1" applyFill="1" applyBorder="1" applyAlignment="1">
      <alignment horizontal="left"/>
    </xf>
    <xf numFmtId="0" fontId="233" fillId="59" borderId="34" xfId="0" applyFont="1" applyFill="1" applyBorder="1" applyAlignment="1">
      <alignment horizontal="left"/>
    </xf>
    <xf numFmtId="0" fontId="233" fillId="59" borderId="56" xfId="0" applyFont="1" applyFill="1" applyBorder="1" applyAlignment="1">
      <alignment horizontal="left"/>
    </xf>
    <xf numFmtId="0" fontId="241" fillId="65" borderId="57" xfId="0" applyFont="1" applyFill="1" applyBorder="1" applyAlignment="1">
      <alignment horizontal="left"/>
    </xf>
    <xf numFmtId="0" fontId="241" fillId="65" borderId="58" xfId="0" applyFont="1" applyFill="1" applyBorder="1" applyAlignment="1">
      <alignment horizontal="left"/>
    </xf>
    <xf numFmtId="0" fontId="241" fillId="65" borderId="59" xfId="0" applyFont="1" applyFill="1" applyBorder="1" applyAlignment="1">
      <alignment horizontal="left"/>
    </xf>
    <xf numFmtId="0" fontId="241" fillId="68" borderId="57" xfId="0" applyFont="1" applyFill="1" applyBorder="1" applyAlignment="1">
      <alignment horizontal="left"/>
    </xf>
    <xf numFmtId="0" fontId="241" fillId="68" borderId="58" xfId="0" applyFont="1" applyFill="1" applyBorder="1" applyAlignment="1">
      <alignment horizontal="left"/>
    </xf>
    <xf numFmtId="0" fontId="241" fillId="68" borderId="59" xfId="0" applyFont="1" applyFill="1" applyBorder="1" applyAlignment="1">
      <alignment horizontal="left"/>
    </xf>
    <xf numFmtId="0" fontId="241" fillId="57" borderId="57" xfId="0" applyFont="1" applyFill="1" applyBorder="1" applyAlignment="1">
      <alignment horizontal="left"/>
    </xf>
    <xf numFmtId="0" fontId="241" fillId="57" borderId="58" xfId="0" applyFont="1" applyFill="1" applyBorder="1" applyAlignment="1">
      <alignment horizontal="left"/>
    </xf>
    <xf numFmtId="0" fontId="241" fillId="57" borderId="59" xfId="0" applyFont="1" applyFill="1" applyBorder="1" applyAlignment="1">
      <alignment horizontal="left"/>
    </xf>
    <xf numFmtId="0" fontId="242" fillId="53" borderId="53" xfId="0" applyFont="1" applyFill="1" applyBorder="1" applyAlignment="1">
      <alignment horizontal="center" vertical="top" wrapText="1"/>
    </xf>
    <xf numFmtId="0" fontId="242" fillId="53" borderId="39" xfId="0" applyFont="1" applyFill="1" applyBorder="1" applyAlignment="1">
      <alignment horizontal="center" vertical="top" wrapText="1"/>
    </xf>
    <xf numFmtId="0" fontId="242" fillId="53" borderId="54" xfId="0" applyFont="1" applyFill="1" applyBorder="1" applyAlignment="1">
      <alignment horizontal="center" vertical="top" wrapText="1"/>
    </xf>
    <xf numFmtId="0" fontId="265" fillId="55" borderId="50" xfId="0" applyFont="1" applyFill="1" applyBorder="1" applyAlignment="1">
      <alignment horizontal="left"/>
    </xf>
    <xf numFmtId="0" fontId="265" fillId="55" borderId="32" xfId="0" applyFont="1" applyFill="1" applyBorder="1" applyAlignment="1">
      <alignment horizontal="left"/>
    </xf>
    <xf numFmtId="0" fontId="265" fillId="55" borderId="40" xfId="0" applyFont="1" applyFill="1" applyBorder="1" applyAlignment="1">
      <alignment horizontal="left"/>
    </xf>
    <xf numFmtId="0" fontId="265" fillId="55" borderId="5" xfId="0" applyFont="1" applyFill="1" applyBorder="1" applyAlignment="1">
      <alignment horizontal="left" vertical="center"/>
    </xf>
    <xf numFmtId="0" fontId="0" fillId="54" borderId="51" xfId="0" applyFill="1" applyBorder="1" applyAlignment="1">
      <alignment horizontal="center" vertical="center"/>
    </xf>
    <xf numFmtId="0" fontId="0" fillId="54" borderId="1" xfId="0" applyFill="1" applyBorder="1" applyAlignment="1">
      <alignment horizontal="center" vertical="center"/>
    </xf>
    <xf numFmtId="0" fontId="0" fillId="54" borderId="49" xfId="0" applyFill="1" applyBorder="1" applyAlignment="1">
      <alignment horizontal="center" vertical="center"/>
    </xf>
    <xf numFmtId="0" fontId="265" fillId="55" borderId="50" xfId="0" applyFont="1" applyFill="1" applyBorder="1" applyAlignment="1">
      <alignment horizontal="left" vertical="center"/>
    </xf>
    <xf numFmtId="0" fontId="265" fillId="55" borderId="32" xfId="0" applyFont="1" applyFill="1" applyBorder="1" applyAlignment="1">
      <alignment horizontal="left" vertical="center"/>
    </xf>
    <xf numFmtId="0" fontId="265" fillId="55" borderId="40" xfId="0" applyFont="1" applyFill="1" applyBorder="1" applyAlignment="1">
      <alignment horizontal="left" vertical="center"/>
    </xf>
    <xf numFmtId="0" fontId="0" fillId="0" borderId="53" xfId="0" applyBorder="1" applyAlignment="1">
      <alignment horizontal="center" vertical="center"/>
    </xf>
    <xf numFmtId="0" fontId="247" fillId="54" borderId="0" xfId="0" applyFont="1" applyFill="1" applyAlignment="1">
      <alignment vertical="center"/>
    </xf>
    <xf numFmtId="0" fontId="246" fillId="78" borderId="0" xfId="0" applyFont="1" applyFill="1" applyAlignment="1">
      <alignment horizontal="center" vertical="center"/>
    </xf>
    <xf numFmtId="3" fontId="246" fillId="73" borderId="52" xfId="0" applyNumberFormat="1" applyFont="1" applyFill="1" applyBorder="1" applyAlignment="1">
      <alignment horizontal="center" vertical="center"/>
    </xf>
    <xf numFmtId="3" fontId="246" fillId="79" borderId="52" xfId="0" applyNumberFormat="1" applyFont="1" applyFill="1" applyBorder="1" applyAlignment="1">
      <alignment horizontal="center" vertical="center"/>
    </xf>
    <xf numFmtId="3" fontId="246" fillId="80" borderId="52" xfId="0" applyNumberFormat="1" applyFont="1" applyFill="1" applyBorder="1" applyAlignment="1">
      <alignment horizontal="center" vertical="center"/>
    </xf>
    <xf numFmtId="3" fontId="246" fillId="78" borderId="52" xfId="0" applyNumberFormat="1" applyFont="1" applyFill="1" applyBorder="1" applyAlignment="1">
      <alignment horizontal="center" vertical="center"/>
    </xf>
    <xf numFmtId="0" fontId="246" fillId="78" borderId="0" xfId="1117" applyFont="1" applyFill="1" applyAlignment="1">
      <alignment vertical="center"/>
    </xf>
    <xf numFmtId="0" fontId="267" fillId="0" borderId="0" xfId="1117" applyAlignment="1">
      <alignment vertical="center"/>
    </xf>
    <xf numFmtId="0" fontId="250" fillId="73" borderId="52" xfId="0" applyNumberFormat="1" applyFont="1" applyFill="1" applyBorder="1" applyAlignment="1">
      <alignment horizontal="center" vertical="center"/>
    </xf>
    <xf numFmtId="0" fontId="250" fillId="73" borderId="73" xfId="0" applyNumberFormat="1" applyFont="1" applyFill="1" applyBorder="1" applyAlignment="1">
      <alignment horizontal="center" vertical="center"/>
    </xf>
    <xf numFmtId="0" fontId="250" fillId="73" borderId="76" xfId="0" applyNumberFormat="1" applyFont="1" applyFill="1" applyBorder="1" applyAlignment="1">
      <alignment horizontal="center" vertical="center"/>
    </xf>
    <xf numFmtId="0" fontId="250" fillId="73" borderId="74" xfId="0" applyNumberFormat="1" applyFont="1" applyFill="1" applyBorder="1" applyAlignment="1">
      <alignment horizontal="center" vertical="center"/>
    </xf>
    <xf numFmtId="0" fontId="250" fillId="79" borderId="73" xfId="0" applyNumberFormat="1" applyFont="1" applyFill="1" applyBorder="1" applyAlignment="1">
      <alignment horizontal="center" vertical="center"/>
    </xf>
    <xf numFmtId="0" fontId="250" fillId="79" borderId="76" xfId="0" applyNumberFormat="1" applyFont="1" applyFill="1" applyBorder="1" applyAlignment="1">
      <alignment horizontal="center" vertical="center"/>
    </xf>
    <xf numFmtId="0" fontId="250" fillId="79" borderId="74" xfId="0" applyNumberFormat="1" applyFont="1" applyFill="1" applyBorder="1" applyAlignment="1">
      <alignment horizontal="center" vertical="center"/>
    </xf>
    <xf numFmtId="0" fontId="250" fillId="80" borderId="73" xfId="0" applyNumberFormat="1" applyFont="1" applyFill="1" applyBorder="1" applyAlignment="1">
      <alignment horizontal="center" vertical="center"/>
    </xf>
    <xf numFmtId="0" fontId="250" fillId="80" borderId="76" xfId="0" applyNumberFormat="1" applyFont="1" applyFill="1" applyBorder="1" applyAlignment="1">
      <alignment horizontal="center" vertical="center"/>
    </xf>
    <xf numFmtId="0" fontId="250" fillId="80" borderId="74" xfId="0" applyNumberFormat="1" applyFont="1" applyFill="1" applyBorder="1" applyAlignment="1">
      <alignment horizontal="center" vertical="center"/>
    </xf>
    <xf numFmtId="0" fontId="271" fillId="78" borderId="52" xfId="0" applyFont="1" applyFill="1" applyBorder="1" applyAlignment="1">
      <alignment horizontal="center" vertical="center"/>
    </xf>
    <xf numFmtId="3" fontId="272" fillId="81" borderId="52" xfId="1117" applyNumberFormat="1" applyFont="1" applyFill="1" applyBorder="1" applyAlignment="1">
      <alignment horizontal="center" vertical="center"/>
    </xf>
    <xf numFmtId="3" fontId="272" fillId="78" borderId="52" xfId="1117" applyNumberFormat="1" applyFont="1" applyFill="1" applyBorder="1" applyAlignment="1">
      <alignment horizontal="center" vertical="center"/>
    </xf>
    <xf numFmtId="3" fontId="273" fillId="82" borderId="52" xfId="1117" applyNumberFormat="1" applyFont="1" applyFill="1" applyBorder="1" applyAlignment="1">
      <alignment horizontal="center" vertical="center"/>
    </xf>
    <xf numFmtId="3" fontId="273" fillId="79" borderId="52" xfId="1117" applyNumberFormat="1" applyFont="1" applyFill="1" applyBorder="1" applyAlignment="1">
      <alignment horizontal="center" vertical="center"/>
    </xf>
    <xf numFmtId="3" fontId="273" fillId="81" borderId="52" xfId="1117" applyNumberFormat="1" applyFont="1" applyFill="1" applyBorder="1" applyAlignment="1">
      <alignment horizontal="center" vertical="center"/>
    </xf>
    <xf numFmtId="3" fontId="273" fillId="78" borderId="52" xfId="1117" applyNumberFormat="1" applyFont="1" applyFill="1" applyBorder="1" applyAlignment="1">
      <alignment horizontal="center" vertical="center"/>
    </xf>
    <xf numFmtId="3" fontId="272" fillId="83" borderId="52" xfId="1117" applyNumberFormat="1" applyFont="1" applyFill="1" applyBorder="1" applyAlignment="1">
      <alignment horizontal="center" vertical="center"/>
    </xf>
    <xf numFmtId="3" fontId="272" fillId="80" borderId="52" xfId="1117" applyNumberFormat="1" applyFont="1" applyFill="1" applyBorder="1" applyAlignment="1">
      <alignment horizontal="center" vertical="center"/>
    </xf>
    <xf numFmtId="0" fontId="241" fillId="84" borderId="5" xfId="1117" applyFont="1" applyFill="1" applyBorder="1" applyAlignment="1">
      <alignment vertical="center" wrapText="1"/>
    </xf>
    <xf numFmtId="0" fontId="270" fillId="55" borderId="5" xfId="0" applyFont="1" applyFill="1" applyBorder="1" applyAlignment="1">
      <alignment horizontal="left" vertical="center" wrapText="1"/>
    </xf>
    <xf numFmtId="4" fontId="246" fillId="78" borderId="70" xfId="1117" applyNumberFormat="1" applyFont="1" applyFill="1" applyBorder="1" applyAlignment="1">
      <alignment vertical="center"/>
    </xf>
    <xf numFmtId="248" fontId="272" fillId="78" borderId="52" xfId="1117" applyNumberFormat="1" applyFont="1" applyFill="1" applyBorder="1" applyAlignment="1">
      <alignment horizontal="center" vertical="center"/>
    </xf>
    <xf numFmtId="3" fontId="272" fillId="85" borderId="52" xfId="1117" applyNumberFormat="1" applyFont="1" applyFill="1" applyBorder="1" applyAlignment="1">
      <alignment horizontal="center" vertical="center"/>
    </xf>
    <xf numFmtId="4" fontId="246" fillId="81" borderId="70" xfId="1117" applyNumberFormat="1" applyFont="1" applyFill="1" applyBorder="1" applyAlignment="1">
      <alignment vertical="center"/>
    </xf>
    <xf numFmtId="4" fontId="246" fillId="81" borderId="75" xfId="1117" applyNumberFormat="1" applyFont="1" applyFill="1" applyBorder="1" applyAlignment="1">
      <alignment vertical="center"/>
    </xf>
    <xf numFmtId="0" fontId="1" fillId="84" borderId="5" xfId="1117" applyFont="1" applyFill="1" applyBorder="1" applyAlignment="1">
      <alignment vertical="center" wrapText="1"/>
    </xf>
    <xf numFmtId="248" fontId="276" fillId="78" borderId="52" xfId="1117" applyNumberFormat="1" applyFont="1" applyFill="1" applyBorder="1" applyAlignment="1">
      <alignment horizontal="center" vertical="center"/>
    </xf>
    <xf numFmtId="0" fontId="267" fillId="84" borderId="5" xfId="1117" applyFill="1" applyBorder="1" applyAlignment="1">
      <alignment vertical="center" wrapText="1"/>
    </xf>
    <xf numFmtId="3" fontId="272" fillId="78" borderId="71" xfId="1117" applyNumberFormat="1" applyFont="1" applyFill="1" applyBorder="1" applyAlignment="1">
      <alignment horizontal="center" vertical="center"/>
    </xf>
    <xf numFmtId="4" fontId="246" fillId="78" borderId="72" xfId="1117" applyNumberFormat="1" applyFont="1" applyFill="1" applyBorder="1" applyAlignment="1">
      <alignment vertical="center"/>
    </xf>
    <xf numFmtId="3" fontId="272" fillId="78" borderId="70" xfId="1117" applyNumberFormat="1" applyFont="1" applyFill="1" applyBorder="1" applyAlignment="1">
      <alignment horizontal="center" vertical="center"/>
    </xf>
    <xf numFmtId="3" fontId="272" fillId="78" borderId="75" xfId="1117" applyNumberFormat="1" applyFont="1" applyFill="1" applyBorder="1" applyAlignment="1">
      <alignment horizontal="center" vertical="center"/>
    </xf>
    <xf numFmtId="0" fontId="246" fillId="78" borderId="70" xfId="1117" applyFont="1" applyFill="1" applyBorder="1" applyAlignment="1">
      <alignment horizontal="center" vertical="center"/>
    </xf>
    <xf numFmtId="0" fontId="246" fillId="79" borderId="70" xfId="1117" applyFont="1" applyFill="1" applyBorder="1" applyAlignment="1">
      <alignment horizontal="center" vertical="center"/>
    </xf>
    <xf numFmtId="0" fontId="246" fillId="79" borderId="75" xfId="1117" applyFont="1" applyFill="1" applyBorder="1" applyAlignment="1">
      <alignment horizontal="center" vertical="center"/>
    </xf>
    <xf numFmtId="0" fontId="246" fillId="78" borderId="75" xfId="1117" applyFont="1" applyFill="1" applyBorder="1" applyAlignment="1">
      <alignment horizontal="center" vertical="center"/>
    </xf>
    <xf numFmtId="0" fontId="246" fillId="80" borderId="70" xfId="1117" applyFont="1" applyFill="1" applyBorder="1" applyAlignment="1">
      <alignment horizontal="center" vertical="center"/>
    </xf>
    <xf numFmtId="0" fontId="246" fillId="80" borderId="75" xfId="1117" applyFont="1" applyFill="1" applyBorder="1" applyAlignment="1">
      <alignment horizontal="center" vertical="center"/>
    </xf>
    <xf numFmtId="0" fontId="277" fillId="55" borderId="5" xfId="0" applyFont="1" applyFill="1" applyBorder="1" applyAlignment="1">
      <alignment horizontal="left" vertical="center" wrapText="1"/>
    </xf>
    <xf numFmtId="3" fontId="272" fillId="78" borderId="73" xfId="1117" applyNumberFormat="1" applyFont="1" applyFill="1" applyBorder="1" applyAlignment="1">
      <alignment horizontal="center" vertical="center"/>
    </xf>
    <xf numFmtId="3" fontId="272" fillId="85" borderId="75" xfId="1117" applyNumberFormat="1" applyFont="1" applyFill="1" applyBorder="1" applyAlignment="1">
      <alignment horizontal="center" vertical="center"/>
    </xf>
    <xf numFmtId="4" fontId="246" fillId="79" borderId="75" xfId="1117" applyNumberFormat="1" applyFont="1" applyFill="1" applyBorder="1" applyAlignment="1">
      <alignment horizontal="center" vertical="center"/>
    </xf>
    <xf numFmtId="4" fontId="246" fillId="78" borderId="75" xfId="1117" applyNumberFormat="1" applyFont="1" applyFill="1" applyBorder="1" applyAlignment="1">
      <alignment horizontal="center" vertical="center"/>
    </xf>
    <xf numFmtId="3" fontId="248" fillId="86" borderId="75" xfId="1117" applyNumberFormat="1" applyFont="1" applyFill="1" applyBorder="1" applyAlignment="1">
      <alignment horizontal="center" vertical="center"/>
    </xf>
    <xf numFmtId="4" fontId="1" fillId="0" borderId="75" xfId="0" applyNumberFormat="1" applyFont="1" applyBorder="1" applyAlignment="1">
      <alignment vertical="center"/>
    </xf>
    <xf numFmtId="3" fontId="248" fillId="85" borderId="75" xfId="1117" applyNumberFormat="1" applyFont="1" applyFill="1" applyBorder="1" applyAlignment="1">
      <alignment horizontal="center" vertical="center"/>
    </xf>
    <xf numFmtId="4" fontId="246" fillId="78" borderId="75" xfId="1117" applyNumberFormat="1" applyFont="1" applyFill="1" applyBorder="1" applyAlignment="1">
      <alignment horizontal="right" vertical="center"/>
    </xf>
    <xf numFmtId="0" fontId="246" fillId="0" borderId="0" xfId="1117" applyFont="1" applyAlignment="1">
      <alignment vertical="center"/>
    </xf>
    <xf numFmtId="0" fontId="246" fillId="78" borderId="0" xfId="1117" applyFont="1" applyFill="1" applyAlignment="1">
      <alignment horizontal="center" vertical="center"/>
    </xf>
    <xf numFmtId="0" fontId="246" fillId="79" borderId="0" xfId="1117" applyFont="1" applyFill="1" applyAlignment="1">
      <alignment horizontal="center" vertical="center"/>
    </xf>
    <xf numFmtId="0" fontId="246" fillId="80" borderId="0" xfId="1117" applyFont="1" applyFill="1" applyAlignment="1">
      <alignment horizontal="center" vertical="center"/>
    </xf>
  </cellXfs>
  <cellStyles count="2762">
    <cellStyle name=" 1" xfId="5" xr:uid="{00000000-0005-0000-0000-000000000000}"/>
    <cellStyle name=" Verticals" xfId="6" xr:uid="{00000000-0005-0000-0000-000001000000}"/>
    <cellStyle name="_x000a_bidires=100_x000d_" xfId="1" xr:uid="{00000000-0005-0000-0000-000002000000}"/>
    <cellStyle name="_x000a_bidires=100_x000d_ 2" xfId="2" xr:uid="{00000000-0005-0000-0000-000003000000}"/>
    <cellStyle name="_x000a_bidires=100_x000d_ 3" xfId="3" xr:uid="{00000000-0005-0000-0000-000004000000}"/>
    <cellStyle name="_x000a_bidires=100_x000d__Анализ индикаторов на обесценение ИРРАО" xfId="4" xr:uid="{00000000-0005-0000-0000-000005000000}"/>
    <cellStyle name="%" xfId="469" xr:uid="{00000000-0005-0000-0000-000006000000}"/>
    <cellStyle name="?_x0001_" xfId="456" xr:uid="{00000000-0005-0000-0000-000007000000}"/>
    <cellStyle name="?_x0001__x0001_ ?§??_x0002_????_x000f__x0008_??f_x0006__x0010_?????yyyyyyyyyyyyyyy" xfId="457" xr:uid="{00000000-0005-0000-0000-000008000000}"/>
    <cellStyle name="?_x0001__Анализ индикаторов на обесценение ИРРАО" xfId="458" xr:uid="{00000000-0005-0000-0000-000009000000}"/>
    <cellStyle name="?…?ж?Ш?и [0.00]" xfId="459" xr:uid="{00000000-0005-0000-0000-00000A000000}"/>
    <cellStyle name="?W??_‘O’с?р??" xfId="460" xr:uid="{00000000-0005-0000-0000-00000B000000}"/>
    <cellStyle name="]_x000d__x000a_Zoomed=1_x000d__x000a_Row=0_x000d__x000a_Column=0_x000d__x000a_Height=0_x000d__x000a_Width=0_x000d__x000a_FontName=FoxFont_x000d__x000a_FontStyle=0_x000d__x000a_FontSize=9_x000d__x000a_PrtFontName=FoxPrin" xfId="468" xr:uid="{00000000-0005-0000-0000-00000C000000}"/>
    <cellStyle name="_1_²ÜºÈÆø" xfId="7" xr:uid="{00000000-0005-0000-0000-00000D000000}"/>
    <cellStyle name="_16. РАСЧЕТ ИЗВЛЕЧЕНИЯ АЛМАЗОВ И ТОВАРНАЯ ПРОДУКЦИЯ - печать" xfId="8" xr:uid="{00000000-0005-0000-0000-00000E000000}"/>
    <cellStyle name="_2005_БЮДЖЕТ В4 ==11.11.==  КР Дороги, Мосты" xfId="9" xr:uid="{00000000-0005-0000-0000-00000F000000}"/>
    <cellStyle name="_2006_06_28_MGRES_inventories_request" xfId="10" xr:uid="{00000000-0005-0000-0000-000010000000}"/>
    <cellStyle name="_20090317_MUSE_Final_DRAFT" xfId="11" xr:uid="{00000000-0005-0000-0000-000011000000}"/>
    <cellStyle name="_3 кв 2006 Свод_140706" xfId="12" xr:uid="{00000000-0005-0000-0000-000012000000}"/>
    <cellStyle name="_61pril11_mod" xfId="13" xr:uid="{00000000-0005-0000-0000-000013000000}"/>
    <cellStyle name="_61pril11_mod 2" xfId="14" xr:uid="{00000000-0005-0000-0000-000014000000}"/>
    <cellStyle name="_61pril11_mod 3" xfId="15" xr:uid="{00000000-0005-0000-0000-000015000000}"/>
    <cellStyle name="_61pril11_mod 4" xfId="16" xr:uid="{00000000-0005-0000-0000-000016000000}"/>
    <cellStyle name="_61pril11_mod_~9660252" xfId="17" xr:uid="{00000000-0005-0000-0000-000017000000}"/>
    <cellStyle name="_61pril11_mod_01.10.05" xfId="18" xr:uid="{00000000-0005-0000-0000-000018000000}"/>
    <cellStyle name="_61pril11_mod_01.10.05 2" xfId="19" xr:uid="{00000000-0005-0000-0000-000019000000}"/>
    <cellStyle name="_61pril11_mod_01.10.05 3" xfId="20" xr:uid="{00000000-0005-0000-0000-00001A000000}"/>
    <cellStyle name="_61pril11_mod_01.10.05 4" xfId="21" xr:uid="{00000000-0005-0000-0000-00001B000000}"/>
    <cellStyle name="_61pril11_mod_01.10.05_~9660252" xfId="22" xr:uid="{00000000-0005-0000-0000-00001C000000}"/>
    <cellStyle name="_61pril11_mod_01.10.05_E-10" xfId="23" xr:uid="{00000000-0005-0000-0000-00001D000000}"/>
    <cellStyle name="_61pril11_mod_01.10.05_FSL_Prime Fitness_HY_2008" xfId="24" xr:uid="{00000000-0005-0000-0000-00001E000000}"/>
    <cellStyle name="_61pril11_mod_01.10.05_FSL_SBOI_07" xfId="25" xr:uid="{00000000-0005-0000-0000-00001F000000}"/>
    <cellStyle name="_61pril11_mod_01.10.05_FSL_SBOI_07_BOG" xfId="26" xr:uid="{00000000-0005-0000-0000-000020000000}"/>
    <cellStyle name="_61pril11_mod_01.10.05_FSL_SBOI_08" xfId="27" xr:uid="{00000000-0005-0000-0000-000021000000}"/>
    <cellStyle name="_61pril11_mod_01.10.05_GTC Report June 2008 IG KC 080616" xfId="28" xr:uid="{00000000-0005-0000-0000-000022000000}"/>
    <cellStyle name="_61pril11_mod_01.10.05_LC Trial Balances 2008" xfId="29" xr:uid="{00000000-0005-0000-0000-000023000000}"/>
    <cellStyle name="_61pril11_mod_01.10.05_LOC_Guarantees  IFRS adj  calc  T KH _27 12 08 (version 1)" xfId="30" xr:uid="{00000000-0005-0000-0000-000024000000}"/>
    <cellStyle name="_61pril11_mod_01.10.05_Prime Fitness_IFRS FS  Disclosures_June 2008 reviewed" xfId="31" xr:uid="{00000000-0005-0000-0000-000025000000}"/>
    <cellStyle name="_61pril11_mod_01.10.05_Trail Balance" xfId="32" xr:uid="{00000000-0005-0000-0000-000026000000}"/>
    <cellStyle name="_61pril11_mod_01.11.05" xfId="33" xr:uid="{00000000-0005-0000-0000-000027000000}"/>
    <cellStyle name="_61pril11_mod_01.11.05 2" xfId="34" xr:uid="{00000000-0005-0000-0000-000028000000}"/>
    <cellStyle name="_61pril11_mod_01.11.05 3" xfId="35" xr:uid="{00000000-0005-0000-0000-000029000000}"/>
    <cellStyle name="_61pril11_mod_01.11.05 4" xfId="36" xr:uid="{00000000-0005-0000-0000-00002A000000}"/>
    <cellStyle name="_61pril11_mod_01.11.05_~9660252" xfId="37" xr:uid="{00000000-0005-0000-0000-00002B000000}"/>
    <cellStyle name="_61pril11_mod_01.11.05_E-10" xfId="38" xr:uid="{00000000-0005-0000-0000-00002C000000}"/>
    <cellStyle name="_61pril11_mod_01.11.05_FSL_Prime Fitness_HY_2008" xfId="39" xr:uid="{00000000-0005-0000-0000-00002D000000}"/>
    <cellStyle name="_61pril11_mod_01.11.05_FSL_SBOI_07" xfId="40" xr:uid="{00000000-0005-0000-0000-00002E000000}"/>
    <cellStyle name="_61pril11_mod_01.11.05_FSL_SBOI_07_BOG" xfId="41" xr:uid="{00000000-0005-0000-0000-00002F000000}"/>
    <cellStyle name="_61pril11_mod_01.11.05_FSL_SBOI_08" xfId="42" xr:uid="{00000000-0005-0000-0000-000030000000}"/>
    <cellStyle name="_61pril11_mod_01.11.05_GTC Report June 2008 IG KC 080616" xfId="43" xr:uid="{00000000-0005-0000-0000-000031000000}"/>
    <cellStyle name="_61pril11_mod_01.11.05_LC Trial Balances 2008" xfId="44" xr:uid="{00000000-0005-0000-0000-000032000000}"/>
    <cellStyle name="_61pril11_mod_01.11.05_LOC_Guarantees  IFRS adj  calc  T KH _27 12 08 (version 1)" xfId="45" xr:uid="{00000000-0005-0000-0000-000033000000}"/>
    <cellStyle name="_61pril11_mod_01.11.05_Prime Fitness_IFRS FS  Disclosures_June 2008 reviewed" xfId="46" xr:uid="{00000000-0005-0000-0000-000034000000}"/>
    <cellStyle name="_61pril11_mod_01.11.05_Trail Balance" xfId="47" xr:uid="{00000000-0005-0000-0000-000035000000}"/>
    <cellStyle name="_61pril11_mod_E-10" xfId="48" xr:uid="{00000000-0005-0000-0000-000036000000}"/>
    <cellStyle name="_61pril11_mod_FSL_Prime Fitness_HY_2008" xfId="49" xr:uid="{00000000-0005-0000-0000-000037000000}"/>
    <cellStyle name="_61pril11_mod_FSL_SBOI_07" xfId="50" xr:uid="{00000000-0005-0000-0000-000038000000}"/>
    <cellStyle name="_61pril11_mod_FSL_SBOI_07_BOG" xfId="51" xr:uid="{00000000-0005-0000-0000-000039000000}"/>
    <cellStyle name="_61pril11_mod_FSL_SBOI_08" xfId="52" xr:uid="{00000000-0005-0000-0000-00003A000000}"/>
    <cellStyle name="_61pril11_mod_GTC Report June 2008 IG KC 080616" xfId="53" xr:uid="{00000000-0005-0000-0000-00003B000000}"/>
    <cellStyle name="_61pril11_mod_LC Trial Balances 2008" xfId="54" xr:uid="{00000000-0005-0000-0000-00003C000000}"/>
    <cellStyle name="_61pril11_mod_LOC_Guarantees  IFRS adj  calc  T KH _27 12 08 (version 1)" xfId="55" xr:uid="{00000000-0005-0000-0000-00003D000000}"/>
    <cellStyle name="_61pril11_mod_Prime Fitness_IFRS FS  Disclosures_June 2008 reviewed" xfId="56" xr:uid="{00000000-0005-0000-0000-00003E000000}"/>
    <cellStyle name="_61pril11_mod_Trail Balance" xfId="57" xr:uid="{00000000-0005-0000-0000-00003F000000}"/>
    <cellStyle name="_7_WACC" xfId="58" xr:uid="{00000000-0005-0000-0000-000040000000}"/>
    <cellStyle name="_8. Sochinskaya TTP model" xfId="59" xr:uid="{00000000-0005-0000-0000-000041000000}"/>
    <cellStyle name="_AN-124_SP35" xfId="212" xr:uid="{00000000-0005-0000-0000-000042000000}"/>
    <cellStyle name="_Analogs Sales EBITDA per employee" xfId="213" xr:uid="{00000000-0005-0000-0000-000043000000}"/>
    <cellStyle name="_balance_sheet_010106" xfId="214" xr:uid="{00000000-0005-0000-0000-000044000000}"/>
    <cellStyle name="_balance_sheet_010106 2" xfId="215" xr:uid="{00000000-0005-0000-0000-000045000000}"/>
    <cellStyle name="_balance_sheet_010106 3" xfId="216" xr:uid="{00000000-0005-0000-0000-000046000000}"/>
    <cellStyle name="_balance_sheet_010106 4" xfId="217" xr:uid="{00000000-0005-0000-0000-000047000000}"/>
    <cellStyle name="_balance_sheet_010106_~9660252" xfId="218" xr:uid="{00000000-0005-0000-0000-000048000000}"/>
    <cellStyle name="_balance_sheet_010106_E-10" xfId="219" xr:uid="{00000000-0005-0000-0000-000049000000}"/>
    <cellStyle name="_balance_sheet_010106_FSL_Prime Fitness_HY_2008" xfId="220" xr:uid="{00000000-0005-0000-0000-00004A000000}"/>
    <cellStyle name="_balance_sheet_010106_FSL_SBOI_07" xfId="221" xr:uid="{00000000-0005-0000-0000-00004B000000}"/>
    <cellStyle name="_balance_sheet_010106_FSL_SBOI_07_BOG" xfId="222" xr:uid="{00000000-0005-0000-0000-00004C000000}"/>
    <cellStyle name="_balance_sheet_010106_FSL_SBOI_08" xfId="223" xr:uid="{00000000-0005-0000-0000-00004D000000}"/>
    <cellStyle name="_balance_sheet_010106_GTC Report June 2008 IG KC 080616" xfId="224" xr:uid="{00000000-0005-0000-0000-00004E000000}"/>
    <cellStyle name="_balance_sheet_010106_LC Trial Balances 2008" xfId="225" xr:uid="{00000000-0005-0000-0000-00004F000000}"/>
    <cellStyle name="_balance_sheet_010106_LOC_Guarantees  IFRS adj  calc  T KH _27 12 08 (version 1)" xfId="226" xr:uid="{00000000-0005-0000-0000-000050000000}"/>
    <cellStyle name="_balance_sheet_010106_Prime Fitness_IFRS FS  Disclosures_June 2008 reviewed" xfId="227" xr:uid="{00000000-0005-0000-0000-000051000000}"/>
    <cellStyle name="_balance_sheet_010106_Trail Balance" xfId="228" xr:uid="{00000000-0005-0000-0000-000052000000}"/>
    <cellStyle name="_BS-IS-CFS" xfId="229" xr:uid="{00000000-0005-0000-0000-000053000000}"/>
    <cellStyle name="_CAP Exhibits_Company_TAX" xfId="230" xr:uid="{00000000-0005-0000-0000-000054000000}"/>
    <cellStyle name="_Comparative price - history 2" xfId="231" xr:uid="{00000000-0005-0000-0000-000055000000}"/>
    <cellStyle name="_Comparatives_exp" xfId="232" xr:uid="{00000000-0005-0000-0000-000056000000}"/>
    <cellStyle name="_Copy of DCF_30062008_v6" xfId="233" xr:uid="{00000000-0005-0000-0000-000057000000}"/>
    <cellStyle name="_Copy of ggDerivatives_06_Request" xfId="234" xr:uid="{00000000-0005-0000-0000-000058000000}"/>
    <cellStyle name="_CurrencySpace_04 Medfenix Company Model1" xfId="235" xr:uid="{00000000-0005-0000-0000-000059000000}"/>
    <cellStyle name="_CurrencySpace_04 Medfenix Company Model1 2" xfId="236" xr:uid="{00000000-0005-0000-0000-00005A000000}"/>
    <cellStyle name="_CurrencySpace_04 Medfenix Company Model1 3" xfId="237" xr:uid="{00000000-0005-0000-0000-00005B000000}"/>
    <cellStyle name="_deals 2008" xfId="238" xr:uid="{00000000-0005-0000-0000-00005C000000}"/>
    <cellStyle name="_Distribution model RSK v 33" xfId="239" xr:uid="{00000000-0005-0000-0000-00005D000000}"/>
    <cellStyle name="_DTF 22-02-08 v2" xfId="240" xr:uid="{00000000-0005-0000-0000-00005E000000}"/>
    <cellStyle name="_DTF 22-02-08 v2_DPM 87 (начало)_20.06.2011_20.30" xfId="244" xr:uid="{00000000-0005-0000-0000-00005F000000}"/>
    <cellStyle name="_DTF 22-02-08 v2_TheModel 06.04.2011" xfId="245" xr:uid="{00000000-0005-0000-0000-000060000000}"/>
    <cellStyle name="_DTF 22-02-08 v2_TheModel 08.04.2011" xfId="246" xr:uid="{00000000-0005-0000-0000-000061000000}"/>
    <cellStyle name="_DTF 22-02-08 v2_TheModel 15.04.2011_генерация" xfId="247" xr:uid="{00000000-0005-0000-0000-000062000000}"/>
    <cellStyle name="_DTF 22-02-08 v2_TheModel_30_2012" xfId="248" xr:uid="{00000000-0005-0000-0000-000063000000}"/>
    <cellStyle name="_DTF 22-02-08 v2_Valuation_RKSEnergo 03.03.2011" xfId="249" xr:uid="{00000000-0005-0000-0000-000064000000}"/>
    <cellStyle name="_DTF 22-02-08 v2_Valuation_RKSEnergo 03.03.2011_DPM 87 (начало)_20.06.2011_20.30" xfId="253" xr:uid="{00000000-0005-0000-0000-000065000000}"/>
    <cellStyle name="_DTF 22-02-08 v2_Valuation_RKSEnergo 03.03.2011_TheModel 15.04.2011_генерация" xfId="254" xr:uid="{00000000-0005-0000-0000-000066000000}"/>
    <cellStyle name="_DTF 22-02-08 v2_Valuation_RKSEnergo 03.03.2011_TheModel_30_2012" xfId="255" xr:uid="{00000000-0005-0000-0000-000067000000}"/>
    <cellStyle name="_DTF 22-02-08 v2_Valuation_RKSEnergo 03.03.2011_шаблон для заполнения" xfId="250" xr:uid="{00000000-0005-0000-0000-000068000000}"/>
    <cellStyle name="_DTF 22-02-08 v2_Valuation_RKSEnergo 03.03.2011_шаблон для заполнения4" xfId="251" xr:uid="{00000000-0005-0000-0000-000069000000}"/>
    <cellStyle name="_DTF 22-02-08 v2_Valuation_RKSEnergo 03.03.2011_шаблон для теста на обесценение" xfId="252" xr:uid="{00000000-0005-0000-0000-00006A000000}"/>
    <cellStyle name="_DTF 22-02-08 v2_шаблон для заполнения" xfId="241" xr:uid="{00000000-0005-0000-0000-00006B000000}"/>
    <cellStyle name="_DTF 22-02-08 v2_шаблон для заполнения4" xfId="242" xr:uid="{00000000-0005-0000-0000-00006C000000}"/>
    <cellStyle name="_DTF 22-02-08 v2_шаблон для теста на обесценение" xfId="243" xr:uid="{00000000-0005-0000-0000-00006D000000}"/>
    <cellStyle name="_Ekibastuz 21 05" xfId="256" xr:uid="{00000000-0005-0000-0000-00006E000000}"/>
    <cellStyle name="_Exhibits BV rus final" xfId="257" xr:uid="{00000000-0005-0000-0000-00006F000000}"/>
    <cellStyle name="_FFF" xfId="258" xr:uid="{00000000-0005-0000-0000-000070000000}"/>
    <cellStyle name="_FFF_New Form10_2" xfId="260" xr:uid="{00000000-0005-0000-0000-000071000000}"/>
    <cellStyle name="_FFF_Nsi" xfId="261" xr:uid="{00000000-0005-0000-0000-000072000000}"/>
    <cellStyle name="_FFF_Nsi_1" xfId="262" xr:uid="{00000000-0005-0000-0000-000073000000}"/>
    <cellStyle name="_FFF_Nsi_139" xfId="263" xr:uid="{00000000-0005-0000-0000-000074000000}"/>
    <cellStyle name="_FFF_Nsi_140" xfId="264" xr:uid="{00000000-0005-0000-0000-000075000000}"/>
    <cellStyle name="_FFF_Nsi_140(Зах)" xfId="266" xr:uid="{00000000-0005-0000-0000-000076000000}"/>
    <cellStyle name="_FFF_Nsi_140_mod" xfId="265" xr:uid="{00000000-0005-0000-0000-000077000000}"/>
    <cellStyle name="_FFF_Summary" xfId="267" xr:uid="{00000000-0005-0000-0000-000078000000}"/>
    <cellStyle name="_FFF_Tax_form_1кв_3" xfId="268" xr:uid="{00000000-0005-0000-0000-000079000000}"/>
    <cellStyle name="_FFF_БКЭ" xfId="259" xr:uid="{00000000-0005-0000-0000-00007A000000}"/>
    <cellStyle name="_Final_Book_010301" xfId="269" xr:uid="{00000000-0005-0000-0000-00007B000000}"/>
    <cellStyle name="_Final_Book_010301_New Form10_2" xfId="271" xr:uid="{00000000-0005-0000-0000-00007C000000}"/>
    <cellStyle name="_Final_Book_010301_Nsi" xfId="272" xr:uid="{00000000-0005-0000-0000-00007D000000}"/>
    <cellStyle name="_Final_Book_010301_Nsi_1" xfId="273" xr:uid="{00000000-0005-0000-0000-00007E000000}"/>
    <cellStyle name="_Final_Book_010301_Nsi_139" xfId="274" xr:uid="{00000000-0005-0000-0000-00007F000000}"/>
    <cellStyle name="_Final_Book_010301_Nsi_140" xfId="275" xr:uid="{00000000-0005-0000-0000-000080000000}"/>
    <cellStyle name="_Final_Book_010301_Nsi_140(Зах)" xfId="277" xr:uid="{00000000-0005-0000-0000-000081000000}"/>
    <cellStyle name="_Final_Book_010301_Nsi_140_mod" xfId="276" xr:uid="{00000000-0005-0000-0000-000082000000}"/>
    <cellStyle name="_Final_Book_010301_Summary" xfId="278" xr:uid="{00000000-0005-0000-0000-000083000000}"/>
    <cellStyle name="_Final_Book_010301_Tax_form_1кв_3" xfId="279" xr:uid="{00000000-0005-0000-0000-000084000000}"/>
    <cellStyle name="_Final_Book_010301_БКЭ" xfId="270" xr:uid="{00000000-0005-0000-0000-000085000000}"/>
    <cellStyle name="_FinancialModel_IEC_22_11_05_corrected" xfId="280" xr:uid="{00000000-0005-0000-0000-000086000000}"/>
    <cellStyle name="_FS Notes" xfId="281" xr:uid="{00000000-0005-0000-0000-000087000000}"/>
    <cellStyle name="_FS Notes_trial Balance 20061" xfId="282" xr:uid="{00000000-0005-0000-0000-000088000000}"/>
    <cellStyle name="_FSL_Architects.ge_GRDC_31.12.2006" xfId="283" xr:uid="{00000000-0005-0000-0000-000089000000}"/>
    <cellStyle name="_FSL_Architects.ge_GRDC_31.12.2006_GRDC_Cons_2006_MI_3" xfId="284" xr:uid="{00000000-0005-0000-0000-00008A000000}"/>
    <cellStyle name="_FSL_Architects.ge_GRDC_31.12.2006_trial Balance 20061" xfId="285" xr:uid="{00000000-0005-0000-0000-00008B000000}"/>
    <cellStyle name="_FSL_BatumiBusinessPlaza_31.12.2006" xfId="286" xr:uid="{00000000-0005-0000-0000-00008C000000}"/>
    <cellStyle name="_FSL_BatumiBusinessPlaza_31.12.2006_trial Balance 20061" xfId="287" xr:uid="{00000000-0005-0000-0000-00008D000000}"/>
    <cellStyle name="_FSL_Duzan_GRDC_2007" xfId="288" xr:uid="{00000000-0005-0000-0000-00008E000000}"/>
    <cellStyle name="_FSL_Duzani_31.12.2006" xfId="289" xr:uid="{00000000-0005-0000-0000-00008F000000}"/>
    <cellStyle name="_FSL_Duzani_31.12.2006_trial Balance 20061" xfId="290" xr:uid="{00000000-0005-0000-0000-000090000000}"/>
    <cellStyle name="_FSL_GRDCrepoffice_GRDC_31.12.2006" xfId="291" xr:uid="{00000000-0005-0000-0000-000091000000}"/>
    <cellStyle name="_FSL_Prima_12.31.2006" xfId="292" xr:uid="{00000000-0005-0000-0000-000092000000}"/>
    <cellStyle name="_FSL_Prima_12.31.2006_trial Balance 20061" xfId="293" xr:uid="{00000000-0005-0000-0000-000093000000}"/>
    <cellStyle name="_FSL_Prima_GRDC_2007" xfId="294" xr:uid="{00000000-0005-0000-0000-000094000000}"/>
    <cellStyle name="_FSL_Tbilisi Property_2006" xfId="295" xr:uid="{00000000-0005-0000-0000-000095000000}"/>
    <cellStyle name="_FSL_Tbilisi Property_2006_trial Balance 20061" xfId="296" xr:uid="{00000000-0005-0000-0000-000096000000}"/>
    <cellStyle name="_FSL_Tbilisi Property_GRDC_2007" xfId="297" xr:uid="{00000000-0005-0000-0000-000097000000}"/>
    <cellStyle name="_FSL_TbilisiBusinessPlaza_2006_1" xfId="298" xr:uid="{00000000-0005-0000-0000-000098000000}"/>
    <cellStyle name="_GLC_financials" xfId="299" xr:uid="{00000000-0005-0000-0000-000099000000}"/>
    <cellStyle name="_Heading" xfId="300" xr:uid="{00000000-0005-0000-0000-00009A000000}"/>
    <cellStyle name="_Input" xfId="301" xr:uid="{00000000-0005-0000-0000-00009B000000}"/>
    <cellStyle name="_Input TD" xfId="302" xr:uid="{00000000-0005-0000-0000-00009C000000}"/>
    <cellStyle name="_Input_DPM 87 (начало)_20.06.2011_20.30" xfId="306" xr:uid="{00000000-0005-0000-0000-00009D000000}"/>
    <cellStyle name="_Input_TheModel 06.04.2011" xfId="307" xr:uid="{00000000-0005-0000-0000-00009E000000}"/>
    <cellStyle name="_Input_TheModel 08.04.2011" xfId="308" xr:uid="{00000000-0005-0000-0000-00009F000000}"/>
    <cellStyle name="_Input_TheModel 15.04.2011_генерация" xfId="309" xr:uid="{00000000-0005-0000-0000-0000A0000000}"/>
    <cellStyle name="_Input_TheModel_30_2012" xfId="310" xr:uid="{00000000-0005-0000-0000-0000A1000000}"/>
    <cellStyle name="_Input_Valuation_RKSEnergo 03.03.2011" xfId="311" xr:uid="{00000000-0005-0000-0000-0000A2000000}"/>
    <cellStyle name="_Input_Valuation_RKSEnergo 03.03.2011_DPM 87 (начало)_20.06.2011_20.30" xfId="315" xr:uid="{00000000-0005-0000-0000-0000A3000000}"/>
    <cellStyle name="_Input_Valuation_RKSEnergo 03.03.2011_TheModel 15.04.2011_генерация" xfId="316" xr:uid="{00000000-0005-0000-0000-0000A4000000}"/>
    <cellStyle name="_Input_Valuation_RKSEnergo 03.03.2011_TheModel_30_2012" xfId="317" xr:uid="{00000000-0005-0000-0000-0000A5000000}"/>
    <cellStyle name="_Input_Valuation_RKSEnergo 03.03.2011_шаблон для заполнения" xfId="312" xr:uid="{00000000-0005-0000-0000-0000A6000000}"/>
    <cellStyle name="_Input_Valuation_RKSEnergo 03.03.2011_шаблон для заполнения4" xfId="313" xr:uid="{00000000-0005-0000-0000-0000A7000000}"/>
    <cellStyle name="_Input_Valuation_RKSEnergo 03.03.2011_шаблон для теста на обесценение" xfId="314" xr:uid="{00000000-0005-0000-0000-0000A8000000}"/>
    <cellStyle name="_Input_шаблон для заполнения" xfId="303" xr:uid="{00000000-0005-0000-0000-0000A9000000}"/>
    <cellStyle name="_Input_шаблон для заполнения4" xfId="304" xr:uid="{00000000-0005-0000-0000-0000AA000000}"/>
    <cellStyle name="_Input_шаблон для теста на обесценение" xfId="305" xr:uid="{00000000-0005-0000-0000-0000AB000000}"/>
    <cellStyle name="_Krasnodonugol DCF model_v 0_September 3 2005" xfId="318" xr:uid="{00000000-0005-0000-0000-0000AC000000}"/>
    <cellStyle name="_Lomonosov Benchmark TEMv1.4" xfId="319" xr:uid="{00000000-0005-0000-0000-0000AD000000}"/>
    <cellStyle name="_Lomonosov Benchmark TEMv13.4" xfId="320" xr:uid="{00000000-0005-0000-0000-0000AE000000}"/>
    <cellStyle name="_MA - values" xfId="321" xr:uid="{00000000-0005-0000-0000-0000AF000000}"/>
    <cellStyle name="_Market" xfId="322" xr:uid="{00000000-0005-0000-0000-0000B0000000}"/>
    <cellStyle name="_Market Approach" xfId="323" xr:uid="{00000000-0005-0000-0000-0000B1000000}"/>
    <cellStyle name="_Market Approach 2" xfId="324" xr:uid="{00000000-0005-0000-0000-0000B2000000}"/>
    <cellStyle name="_Market Approach 3" xfId="325" xr:uid="{00000000-0005-0000-0000-0000B3000000}"/>
    <cellStyle name="_Market Approach_template" xfId="326" xr:uid="{00000000-0005-0000-0000-0000B4000000}"/>
    <cellStyle name="_MGOK model v.1.11 (old prices)" xfId="327" xr:uid="{00000000-0005-0000-0000-0000B5000000}"/>
    <cellStyle name="_MGRES_0505_final" xfId="328" xr:uid="{00000000-0005-0000-0000-0000B6000000}"/>
    <cellStyle name="_MIS_BSv9_30.09.05" xfId="329" xr:uid="{00000000-0005-0000-0000-0000B7000000}"/>
    <cellStyle name="_MIS_BSv9_30.09.05 2" xfId="330" xr:uid="{00000000-0005-0000-0000-0000B8000000}"/>
    <cellStyle name="_MIS_BSv9_30.09.05 3" xfId="331" xr:uid="{00000000-0005-0000-0000-0000B9000000}"/>
    <cellStyle name="_MIS_BSv9_30.09.05 4" xfId="332" xr:uid="{00000000-0005-0000-0000-0000BA000000}"/>
    <cellStyle name="_MIS_BSv9_30.09.05_~9660252" xfId="333" xr:uid="{00000000-0005-0000-0000-0000BB000000}"/>
    <cellStyle name="_MIS_BSv9_30.09.05_E-10" xfId="334" xr:uid="{00000000-0005-0000-0000-0000BC000000}"/>
    <cellStyle name="_MIS_BSv9_30.09.05_FSL_Prime Fitness_HY_2008" xfId="335" xr:uid="{00000000-0005-0000-0000-0000BD000000}"/>
    <cellStyle name="_MIS_BSv9_30.09.05_FSL_SBOI_07" xfId="336" xr:uid="{00000000-0005-0000-0000-0000BE000000}"/>
    <cellStyle name="_MIS_BSv9_30.09.05_FSL_SBOI_07_BOG" xfId="337" xr:uid="{00000000-0005-0000-0000-0000BF000000}"/>
    <cellStyle name="_MIS_BSv9_30.09.05_FSL_SBOI_08" xfId="338" xr:uid="{00000000-0005-0000-0000-0000C0000000}"/>
    <cellStyle name="_MIS_BSv9_30.09.05_GTC Report June 2008 IG KC 080616" xfId="339" xr:uid="{00000000-0005-0000-0000-0000C1000000}"/>
    <cellStyle name="_MIS_BSv9_30.09.05_LC Trial Balances 2008" xfId="340" xr:uid="{00000000-0005-0000-0000-0000C2000000}"/>
    <cellStyle name="_MIS_BSv9_30.09.05_LOC_Guarantees  IFRS adj  calc  T KH _27 12 08 (version 1)" xfId="341" xr:uid="{00000000-0005-0000-0000-0000C3000000}"/>
    <cellStyle name="_MIS_BSv9_30.09.05_Prime Fitness_IFRS FS  Disclosures_June 2008 reviewed" xfId="342" xr:uid="{00000000-0005-0000-0000-0000C4000000}"/>
    <cellStyle name="_MIS_BSv9_30.09.05_Trail Balance" xfId="343" xr:uid="{00000000-0005-0000-0000-0000C5000000}"/>
    <cellStyle name="_MIS_BSv9_31.12.05" xfId="344" xr:uid="{00000000-0005-0000-0000-0000C6000000}"/>
    <cellStyle name="_MIS_BSv9_31.12.05 2" xfId="345" xr:uid="{00000000-0005-0000-0000-0000C7000000}"/>
    <cellStyle name="_MIS_BSv9_31.12.05 3" xfId="346" xr:uid="{00000000-0005-0000-0000-0000C8000000}"/>
    <cellStyle name="_MIS_BSv9_31.12.05 4" xfId="347" xr:uid="{00000000-0005-0000-0000-0000C9000000}"/>
    <cellStyle name="_MIS_BSv9_31.12.05_~9660252" xfId="348" xr:uid="{00000000-0005-0000-0000-0000CA000000}"/>
    <cellStyle name="_MIS_BSv9_31.12.05_E-10" xfId="349" xr:uid="{00000000-0005-0000-0000-0000CB000000}"/>
    <cellStyle name="_MIS_BSv9_31.12.05_FSL_Prime Fitness_HY_2008" xfId="350" xr:uid="{00000000-0005-0000-0000-0000CC000000}"/>
    <cellStyle name="_MIS_BSv9_31.12.05_FSL_SBOI_07" xfId="351" xr:uid="{00000000-0005-0000-0000-0000CD000000}"/>
    <cellStyle name="_MIS_BSv9_31.12.05_FSL_SBOI_07_BOG" xfId="352" xr:uid="{00000000-0005-0000-0000-0000CE000000}"/>
    <cellStyle name="_MIS_BSv9_31.12.05_FSL_SBOI_08" xfId="353" xr:uid="{00000000-0005-0000-0000-0000CF000000}"/>
    <cellStyle name="_MIS_BSv9_31.12.05_GTC Report June 2008 IG KC 080616" xfId="354" xr:uid="{00000000-0005-0000-0000-0000D0000000}"/>
    <cellStyle name="_MIS_BSv9_31.12.05_LC Trial Balances 2008" xfId="355" xr:uid="{00000000-0005-0000-0000-0000D1000000}"/>
    <cellStyle name="_MIS_BSv9_31.12.05_LOC_Guarantees  IFRS adj  calc  T KH _27 12 08 (version 1)" xfId="356" xr:uid="{00000000-0005-0000-0000-0000D2000000}"/>
    <cellStyle name="_MIS_BSv9_31.12.05_Prime Fitness_IFRS FS  Disclosures_June 2008 reviewed" xfId="357" xr:uid="{00000000-0005-0000-0000-0000D3000000}"/>
    <cellStyle name="_MIS_BSv9_31.12.05_Trail Balance" xfId="358" xr:uid="{00000000-0005-0000-0000-0000D4000000}"/>
    <cellStyle name="_model_OPTOGAN 21 MR" xfId="359" xr:uid="{00000000-0005-0000-0000-0000D5000000}"/>
    <cellStyle name="_model_OPTOGAN 24 (FSO)" xfId="360" xr:uid="{00000000-0005-0000-0000-0000D6000000}"/>
    <cellStyle name="_MUSE Market Exhibits &amp; WACC" xfId="361" xr:uid="{00000000-0005-0000-0000-0000D7000000}"/>
    <cellStyle name="_New_Sofi" xfId="362" xr:uid="{00000000-0005-0000-0000-0000D8000000}"/>
    <cellStyle name="_New_Sofi_FFF" xfId="364" xr:uid="{00000000-0005-0000-0000-0000D9000000}"/>
    <cellStyle name="_New_Sofi_New Form10_2" xfId="365" xr:uid="{00000000-0005-0000-0000-0000DA000000}"/>
    <cellStyle name="_New_Sofi_Nsi" xfId="366" xr:uid="{00000000-0005-0000-0000-0000DB000000}"/>
    <cellStyle name="_New_Sofi_Nsi_1" xfId="367" xr:uid="{00000000-0005-0000-0000-0000DC000000}"/>
    <cellStyle name="_New_Sofi_Nsi_139" xfId="368" xr:uid="{00000000-0005-0000-0000-0000DD000000}"/>
    <cellStyle name="_New_Sofi_Nsi_140" xfId="369" xr:uid="{00000000-0005-0000-0000-0000DE000000}"/>
    <cellStyle name="_New_Sofi_Nsi_140(Зах)" xfId="371" xr:uid="{00000000-0005-0000-0000-0000DF000000}"/>
    <cellStyle name="_New_Sofi_Nsi_140_mod" xfId="370" xr:uid="{00000000-0005-0000-0000-0000E0000000}"/>
    <cellStyle name="_New_Sofi_Summary" xfId="372" xr:uid="{00000000-0005-0000-0000-0000E1000000}"/>
    <cellStyle name="_New_Sofi_Tax_form_1кв_3" xfId="373" xr:uid="{00000000-0005-0000-0000-0000E2000000}"/>
    <cellStyle name="_New_Sofi_БКЭ" xfId="363" xr:uid="{00000000-0005-0000-0000-0000E3000000}"/>
    <cellStyle name="_Nordic_БП 2007 год_adjusted_06.03.07" xfId="374" xr:uid="{00000000-0005-0000-0000-0000E4000000}"/>
    <cellStyle name="_Nsi" xfId="375" xr:uid="{00000000-0005-0000-0000-0000E5000000}"/>
    <cellStyle name="_O_Lead_Park Place" xfId="376" xr:uid="{00000000-0005-0000-0000-0000E6000000}"/>
    <cellStyle name="_OMK valuation model draft" xfId="377" xr:uid="{00000000-0005-0000-0000-0000E7000000}"/>
    <cellStyle name="_P&amp;L &amp; Value" xfId="378" xr:uid="{00000000-0005-0000-0000-0000E8000000}"/>
    <cellStyle name="_pack_6mes_2006_Интер РАО" xfId="379" xr:uid="{00000000-0005-0000-0000-0000E9000000}"/>
    <cellStyle name="_PBC schedule" xfId="380" xr:uid="{00000000-0005-0000-0000-0000EA000000}"/>
    <cellStyle name="_PCSP (model)_10_SP" xfId="381" xr:uid="{00000000-0005-0000-0000-0000EB000000}"/>
    <cellStyle name="_PCSP (model)_24_final" xfId="382" xr:uid="{00000000-0005-0000-0000-0000EC000000}"/>
    <cellStyle name="_Plug" xfId="383" xr:uid="{00000000-0005-0000-0000-0000ED000000}"/>
    <cellStyle name="_Plug 2" xfId="384" xr:uid="{00000000-0005-0000-0000-0000EE000000}"/>
    <cellStyle name="_Plug 3" xfId="385" xr:uid="{00000000-0005-0000-0000-0000EF000000}"/>
    <cellStyle name="_Plug_06_CЗТЭЦ_ожид на 15.12" xfId="386" xr:uid="{00000000-0005-0000-0000-0000F0000000}"/>
    <cellStyle name="_Plug_07_КТЭЦ2" xfId="387" xr:uid="{00000000-0005-0000-0000-0000F1000000}"/>
    <cellStyle name="_Plug_07_Ожидаемые КТЭЦ-2 на 151210г для Акулова" xfId="388" xr:uid="{00000000-0005-0000-0000-0000F2000000}"/>
    <cellStyle name="_Plug_9 февраля Ожидаемые " xfId="389" xr:uid="{00000000-0005-0000-0000-0000F3000000}"/>
    <cellStyle name="_Plug_Анализ индикаторов на обесценение ИРРАО" xfId="390" xr:uid="{00000000-0005-0000-0000-0000F4000000}"/>
    <cellStyle name="_Plug_дом 9 февраля Ожидаемые " xfId="391" xr:uid="{00000000-0005-0000-0000-0000F5000000}"/>
    <cellStyle name="_Plug_Копия Бизнес - план на 2009 СЗ на 11 01 09" xfId="392" xr:uid="{00000000-0005-0000-0000-0000F6000000}"/>
    <cellStyle name="_Plug_Копия Бизнес - план на 2009 СЗ на 11 01 09_06_CЗТЭЦ_ожид на 15.12" xfId="393" xr:uid="{00000000-0005-0000-0000-0000F7000000}"/>
    <cellStyle name="_Plug_Копия Бизнес - план на 2009 СЗ на 11 01 09_07_КТЭЦ2" xfId="394" xr:uid="{00000000-0005-0000-0000-0000F8000000}"/>
    <cellStyle name="_Plug_Копия Бизнес - план на 2009 СЗ на 11 01 09_07_Ожидаемые КТЭЦ-2 на 151210г для Акулова" xfId="395" xr:uid="{00000000-0005-0000-0000-0000F9000000}"/>
    <cellStyle name="_Plug_Копия Бизнес - план на 2009 СЗ на 11 01 09_9 февраля Ожидаемые " xfId="396" xr:uid="{00000000-0005-0000-0000-0000FA000000}"/>
    <cellStyle name="_Plug_Копия Бизнес - план на 2009 СЗ на 11 01 09_дом 9 февраля Ожидаемые " xfId="397" xr:uid="{00000000-0005-0000-0000-0000FB000000}"/>
    <cellStyle name="_Plug_Копия Бизнес - план на 2009 СЗ на 11 01 09_Коэф.гот.формат ИНТЕР РАО)ПЭО 10.09.10" xfId="398" xr:uid="{00000000-0005-0000-0000-0000FC000000}"/>
    <cellStyle name="_Plug_Копия Бизнес - план на 2009 СЗ на 11 01 09_КТЭЦ-2_ Ожид 2011-исходник" xfId="399" xr:uid="{00000000-0005-0000-0000-0000FD000000}"/>
    <cellStyle name="_Plug_Копия Бизнес - план на 2009 СЗ на 11 01 09_ожидаемое CЗ-ТЭЦ 09-06-2010" xfId="400" xr:uid="{00000000-0005-0000-0000-0000FE000000}"/>
    <cellStyle name="_Plug_Копия Бизнес - план на 2009 СЗ на 11 01 09_СТЭС_2011-исходник" xfId="401" xr:uid="{00000000-0005-0000-0000-0000FF000000}"/>
    <cellStyle name="_Plug_Коэф.гот.формат ИНТЕР РАО)ПЭО 10.09.10" xfId="402" xr:uid="{00000000-0005-0000-0000-000000010000}"/>
    <cellStyle name="_Plug_КТЭЦ-2_ Ожид 2011-исходник" xfId="403" xr:uid="{00000000-0005-0000-0000-000001010000}"/>
    <cellStyle name="_Plug_ожидаемое CЗ-ТЭЦ 09-06-2010" xfId="404" xr:uid="{00000000-0005-0000-0000-000002010000}"/>
    <cellStyle name="_Plug_Ожидаемые ИПГУ" xfId="405" xr:uid="{00000000-0005-0000-0000-000003010000}"/>
    <cellStyle name="_Plug_Ожидаемые ИПГУ_06_CЗТЭЦ_ожид на 15.12" xfId="406" xr:uid="{00000000-0005-0000-0000-000004010000}"/>
    <cellStyle name="_Plug_Ожидаемые ИПГУ_07_КТЭЦ2" xfId="407" xr:uid="{00000000-0005-0000-0000-000005010000}"/>
    <cellStyle name="_Plug_Ожидаемые ИПГУ_07_Ожидаемые КТЭЦ-2 на 151210г для Акулова" xfId="408" xr:uid="{00000000-0005-0000-0000-000006010000}"/>
    <cellStyle name="_Plug_Ожидаемые ИПГУ_9 февраля Ожидаемые " xfId="409" xr:uid="{00000000-0005-0000-0000-000007010000}"/>
    <cellStyle name="_Plug_Ожидаемые ИПГУ_дом 9 февраля Ожидаемые " xfId="410" xr:uid="{00000000-0005-0000-0000-000008010000}"/>
    <cellStyle name="_Plug_Ожидаемые ИПГУ_Коэф.гот.формат ИНТЕР РАО)ПЭО 10.09.10" xfId="411" xr:uid="{00000000-0005-0000-0000-000009010000}"/>
    <cellStyle name="_Plug_Ожидаемые ИПГУ_КТЭЦ-2_ Ожид 2011-исходник" xfId="412" xr:uid="{00000000-0005-0000-0000-00000A010000}"/>
    <cellStyle name="_Plug_Ожидаемые ИПГУ_ожидаемое CЗ-ТЭЦ 09-06-2010" xfId="413" xr:uid="{00000000-0005-0000-0000-00000B010000}"/>
    <cellStyle name="_Plug_Ожидаемые ИПГУ_СТЭС_2011-исходник" xfId="414" xr:uid="{00000000-0005-0000-0000-00000C010000}"/>
    <cellStyle name="_Plug_отчет БП 1кв.09 ИвПГУ" xfId="415" xr:uid="{00000000-0005-0000-0000-00000D010000}"/>
    <cellStyle name="_Plug_отчет БП 1кв.09 ИвПГУ_06_CЗТЭЦ_ожид на 15.12" xfId="416" xr:uid="{00000000-0005-0000-0000-00000E010000}"/>
    <cellStyle name="_Plug_отчет БП 1кв.09 ИвПГУ_07_КТЭЦ2" xfId="417" xr:uid="{00000000-0005-0000-0000-00000F010000}"/>
    <cellStyle name="_Plug_отчет БП 1кв.09 ИвПГУ_07_Ожидаемые КТЭЦ-2 на 151210г для Акулова" xfId="418" xr:uid="{00000000-0005-0000-0000-000010010000}"/>
    <cellStyle name="_Plug_отчет БП 1кв.09 ИвПГУ_9 февраля Ожидаемые " xfId="419" xr:uid="{00000000-0005-0000-0000-000011010000}"/>
    <cellStyle name="_Plug_отчет БП 1кв.09 ИвПГУ_дом 9 февраля Ожидаемые " xfId="420" xr:uid="{00000000-0005-0000-0000-000012010000}"/>
    <cellStyle name="_Plug_отчет БП 1кв.09 ИвПГУ_Коэф.гот.формат ИНТЕР РАО)ПЭО 10.09.10" xfId="421" xr:uid="{00000000-0005-0000-0000-000013010000}"/>
    <cellStyle name="_Plug_отчет БП 1кв.09 ИвПГУ_КТЭЦ-2_ Ожид 2011-исходник" xfId="422" xr:uid="{00000000-0005-0000-0000-000014010000}"/>
    <cellStyle name="_Plug_отчет БП 1кв.09 ИвПГУ_ожидаемое CЗ-ТЭЦ 09-06-2010" xfId="423" xr:uid="{00000000-0005-0000-0000-000015010000}"/>
    <cellStyle name="_Plug_отчет БП 1кв.09 ИвПГУ_СТЭС_2011-исходник" xfId="424" xr:uid="{00000000-0005-0000-0000-000016010000}"/>
    <cellStyle name="_Plug_рынок" xfId="425" xr:uid="{00000000-0005-0000-0000-000017010000}"/>
    <cellStyle name="_Plug_СТЭС_2011-исходник" xfId="426" xr:uid="{00000000-0005-0000-0000-000018010000}"/>
    <cellStyle name="_Project Samovar Databook 1506 v3" xfId="427" xr:uid="{00000000-0005-0000-0000-000019010000}"/>
    <cellStyle name="_PTCM BP RG" xfId="428" xr:uid="{00000000-0005-0000-0000-00001A010000}"/>
    <cellStyle name="_Reconciliation_Anton_Ерлан" xfId="429" xr:uid="{00000000-0005-0000-0000-00001B010000}"/>
    <cellStyle name="_Revaluation of Finished goods" xfId="430" xr:uid="{00000000-0005-0000-0000-00001C010000}"/>
    <cellStyle name="_Revaluation of the BS" xfId="431" xr:uid="{00000000-0005-0000-0000-00001D010000}"/>
    <cellStyle name="_RO Model v.3.9 - Final Draft (02.11.06)" xfId="432" xr:uid="{00000000-0005-0000-0000-00001E010000}"/>
    <cellStyle name="_RP-2000" xfId="433" xr:uid="{00000000-0005-0000-0000-00001F010000}"/>
    <cellStyle name="_Sheet1" xfId="434" xr:uid="{00000000-0005-0000-0000-000020010000}"/>
    <cellStyle name="_SIBUR MU DCF 080214 v17 OG" xfId="435" xr:uid="{00000000-0005-0000-0000-000021010000}"/>
    <cellStyle name="_SKY_azot_template_v1" xfId="436" xr:uid="{00000000-0005-0000-0000-000022010000}"/>
    <cellStyle name="_SKY_azot_template_v2" xfId="437" xr:uid="{00000000-0005-0000-0000-000023010000}"/>
    <cellStyle name="_steel EM update 2_AK" xfId="438" xr:uid="{00000000-0005-0000-0000-000024010000}"/>
    <cellStyle name="_SUEK PBC (15)" xfId="439" xr:uid="{00000000-0005-0000-0000-000025010000}"/>
    <cellStyle name="_SZNP - Eqiuty Roll" xfId="440" xr:uid="{00000000-0005-0000-0000-000026010000}"/>
    <cellStyle name="_SZNP - rasshifrovki-002000-333" xfId="441" xr:uid="{00000000-0005-0000-0000-000027010000}"/>
    <cellStyle name="_SZNP - TRS-092000" xfId="442" xr:uid="{00000000-0005-0000-0000-000028010000}"/>
    <cellStyle name="_TableHead" xfId="443" xr:uid="{00000000-0005-0000-0000-000029010000}"/>
    <cellStyle name="_TableHead_Анализ индикаторов на обесценение ИРРАО" xfId="444" xr:uid="{00000000-0005-0000-0000-00002A010000}"/>
    <cellStyle name="_TableRowHead" xfId="445" xr:uid="{00000000-0005-0000-0000-00002B010000}"/>
    <cellStyle name="_TableSuperHead" xfId="446" xr:uid="{00000000-0005-0000-0000-00002C010000}"/>
    <cellStyle name="_Telasi_03_05_v5" xfId="447" xr:uid="{00000000-0005-0000-0000-00002D010000}"/>
    <cellStyle name="_trial Balance 20061" xfId="448" xr:uid="{00000000-0005-0000-0000-00002E010000}"/>
    <cellStyle name="_Valuation RKS 18.02.2011" xfId="449" xr:uid="{00000000-0005-0000-0000-00002F010000}"/>
    <cellStyle name="_WACC &amp; Market Approach" xfId="450" xr:uid="{00000000-0005-0000-0000-000030010000}"/>
    <cellStyle name="_WACC &amp; Market_diamonds 30.06.2008" xfId="451" xr:uid="{00000000-0005-0000-0000-000031010000}"/>
    <cellStyle name="_WACC &amp; Market_diamonds 31.12.2003" xfId="452" xr:uid="{00000000-0005-0000-0000-000032010000}"/>
    <cellStyle name="_WACC &amp; Market_MR" xfId="453" xr:uid="{00000000-0005-0000-0000-000033010000}"/>
    <cellStyle name="_WACC ATZ 1" xfId="454" xr:uid="{00000000-0005-0000-0000-000034010000}"/>
    <cellStyle name="_WACC SMK 2007 v.3.0" xfId="455" xr:uid="{00000000-0005-0000-0000-000035010000}"/>
    <cellStyle name="_Анализ использования ремонтов в 2005 (ауд)" xfId="60" xr:uid="{00000000-0005-0000-0000-000036010000}"/>
    <cellStyle name="_Анализ КТП_регионы" xfId="61" xr:uid="{00000000-0005-0000-0000-000037010000}"/>
    <cellStyle name="_ахр_2006_проверка20060904" xfId="62" xr:uid="{00000000-0005-0000-0000-000038010000}"/>
    <cellStyle name="_БДР _ 2006_28 ноя" xfId="63" xr:uid="{00000000-0005-0000-0000-000039010000}"/>
    <cellStyle name="_бдр_бюджетный пакет_r_2" xfId="64" xr:uid="{00000000-0005-0000-0000-00003A010000}"/>
    <cellStyle name="_Бизнес-план ЗАО ИНТЕР РАО ЕЭС на 2007 год" xfId="65" xr:uid="{00000000-0005-0000-0000-00003B010000}"/>
    <cellStyle name="_Бизнес-план МГРЭС 2007" xfId="66" xr:uid="{00000000-0005-0000-0000-00003C010000}"/>
    <cellStyle name="_БП 2007" xfId="67" xr:uid="{00000000-0005-0000-0000-00003D010000}"/>
    <cellStyle name="_Бюджет 2006_группа_защита_3" xfId="68" xr:uid="{00000000-0005-0000-0000-00003E010000}"/>
    <cellStyle name="_Бюджет 2006_утвержденный" xfId="69" xr:uid="{00000000-0005-0000-0000-00003F010000}"/>
    <cellStyle name="_Бюджет КВ_2006_13 03 2006" xfId="70" xr:uid="{00000000-0005-0000-0000-000040010000}"/>
    <cellStyle name="_Бюджет КВ_2006_17 03 2006_2 (2)" xfId="71" xr:uid="{00000000-0005-0000-0000-000041010000}"/>
    <cellStyle name="_Бюджет КВ_2006_II кв" xfId="72" xr:uid="{00000000-0005-0000-0000-000042010000}"/>
    <cellStyle name="_Бюджет КВ_пл 3 кв_13 07 06" xfId="73" xr:uid="{00000000-0005-0000-0000-000043010000}"/>
    <cellStyle name="_Бюджет на 2006 г 21 11 05 (2)" xfId="74" xr:uid="{00000000-0005-0000-0000-000044010000}"/>
    <cellStyle name="_Бюджет на 2006 г.14.11.05" xfId="75" xr:uid="{00000000-0005-0000-0000-000045010000}"/>
    <cellStyle name="_ГТ и ТТ на 2009-2010 гг. для Пивня Г.Ф." xfId="76" xr:uid="{00000000-0005-0000-0000-000046010000}"/>
    <cellStyle name="_Данные" xfId="77" xr:uid="{00000000-0005-0000-0000-000047010000}"/>
    <cellStyle name="_Динамика 1-2006 230506" xfId="78" xr:uid="{00000000-0005-0000-0000-000048010000}"/>
    <cellStyle name="_для Любы" xfId="79" xr:uid="{00000000-0005-0000-0000-000049010000}"/>
    <cellStyle name="_займы и кредиты ДЗО_01 04 07_ts" xfId="80" xr:uid="{00000000-0005-0000-0000-00004A010000}"/>
    <cellStyle name="_Займы_01.01.2007" xfId="81" xr:uid="{00000000-0005-0000-0000-00004B010000}"/>
    <cellStyle name="_Затратный СШГЭС  14 11 2004" xfId="82" xr:uid="{00000000-0005-0000-0000-00004C010000}"/>
    <cellStyle name="_Индексация исторических затрат" xfId="83" xr:uid="{00000000-0005-0000-0000-00004D010000}"/>
    <cellStyle name="_ИСН 3  квартал 2011" xfId="84" xr:uid="{00000000-0005-0000-0000-00004E010000}"/>
    <cellStyle name="_Капвложения 2006" xfId="85" xr:uid="{00000000-0005-0000-0000-00004F010000}"/>
    <cellStyle name="_Книга1" xfId="86" xr:uid="{00000000-0005-0000-0000-000050010000}"/>
    <cellStyle name="_Книга2 (22)" xfId="87" xr:uid="{00000000-0005-0000-0000-000051010000}"/>
    <cellStyle name="_Книга3" xfId="88" xr:uid="{00000000-0005-0000-0000-000052010000}"/>
    <cellStyle name="_Книга3_New Form10_2" xfId="90" xr:uid="{00000000-0005-0000-0000-000053010000}"/>
    <cellStyle name="_Книга3_Nsi" xfId="91" xr:uid="{00000000-0005-0000-0000-000054010000}"/>
    <cellStyle name="_Книга3_Nsi_1" xfId="92" xr:uid="{00000000-0005-0000-0000-000055010000}"/>
    <cellStyle name="_Книга3_Nsi_139" xfId="93" xr:uid="{00000000-0005-0000-0000-000056010000}"/>
    <cellStyle name="_Книга3_Nsi_140" xfId="94" xr:uid="{00000000-0005-0000-0000-000057010000}"/>
    <cellStyle name="_Книга3_Nsi_140(Зах)" xfId="96" xr:uid="{00000000-0005-0000-0000-000058010000}"/>
    <cellStyle name="_Книга3_Nsi_140_mod" xfId="95" xr:uid="{00000000-0005-0000-0000-000059010000}"/>
    <cellStyle name="_Книга3_Summary" xfId="97" xr:uid="{00000000-0005-0000-0000-00005A010000}"/>
    <cellStyle name="_Книга3_Tax_form_1кв_3" xfId="98" xr:uid="{00000000-0005-0000-0000-00005B010000}"/>
    <cellStyle name="_Книга3_БКЭ" xfId="89" xr:uid="{00000000-0005-0000-0000-00005C010000}"/>
    <cellStyle name="_Книга7" xfId="99" xr:uid="{00000000-0005-0000-0000-00005D010000}"/>
    <cellStyle name="_Книга7_New Form10_2" xfId="101" xr:uid="{00000000-0005-0000-0000-00005E010000}"/>
    <cellStyle name="_Книга7_Nsi" xfId="102" xr:uid="{00000000-0005-0000-0000-00005F010000}"/>
    <cellStyle name="_Книга7_Nsi_1" xfId="103" xr:uid="{00000000-0005-0000-0000-000060010000}"/>
    <cellStyle name="_Книга7_Nsi_139" xfId="104" xr:uid="{00000000-0005-0000-0000-000061010000}"/>
    <cellStyle name="_Книга7_Nsi_140" xfId="105" xr:uid="{00000000-0005-0000-0000-000062010000}"/>
    <cellStyle name="_Книга7_Nsi_140(Зах)" xfId="107" xr:uid="{00000000-0005-0000-0000-000063010000}"/>
    <cellStyle name="_Книга7_Nsi_140_mod" xfId="106" xr:uid="{00000000-0005-0000-0000-000064010000}"/>
    <cellStyle name="_Книга7_Summary" xfId="108" xr:uid="{00000000-0005-0000-0000-000065010000}"/>
    <cellStyle name="_Книга7_Tax_form_1кв_3" xfId="109" xr:uid="{00000000-0005-0000-0000-000066010000}"/>
    <cellStyle name="_Книга7_БКЭ" xfId="100" xr:uid="{00000000-0005-0000-0000-000067010000}"/>
    <cellStyle name="_Копия Дополнение к PBC+ (version 1)" xfId="110" xr:uid="{00000000-0005-0000-0000-000068010000}"/>
    <cellStyle name="_Копия Информация по полученным кредитам (займам)" xfId="111" xr:uid="{00000000-0005-0000-0000-000069010000}"/>
    <cellStyle name="_Копия Теласи" xfId="112" xr:uid="{00000000-0005-0000-0000-00006A010000}"/>
    <cellStyle name="_Копия Теласи 2" xfId="113" xr:uid="{00000000-0005-0000-0000-00006B010000}"/>
    <cellStyle name="_Копия Теласи 3" xfId="114" xr:uid="{00000000-0005-0000-0000-00006C010000}"/>
    <cellStyle name="_Копия Теласи_Анализ индикаторов на обесценение ИРРАО" xfId="115" xr:uid="{00000000-0005-0000-0000-00006D010000}"/>
    <cellStyle name="_Копия Теласи_Копия Бизнес - план на 2009 СЗ на 11 01 09" xfId="116" xr:uid="{00000000-0005-0000-0000-00006E010000}"/>
    <cellStyle name="_Копия Теласи_Копия Бизнес - план на 2009 СЗ на 11 01 09_ожидаемое CЗ-ТЭЦ на 14 04 2010 " xfId="117" xr:uid="{00000000-0005-0000-0000-00006F010000}"/>
    <cellStyle name="_Копия Теласи_Копия Бизнес - план на 2009 СЗ на 11 01 09_СЗТЭЦ 1полуг09 24.07.09" xfId="118" xr:uid="{00000000-0005-0000-0000-000070010000}"/>
    <cellStyle name="_Копия Теласи_Копия Бизнес - план на 2009 СЗ на 11 01 09_СЗТЭЦ 1полуг09 24.07.09_06_CЗТЭЦ_ожид на 15.12" xfId="119" xr:uid="{00000000-0005-0000-0000-000071010000}"/>
    <cellStyle name="_Копия Теласи_Копия Бизнес - план на 2009 СЗ на 11 01 09_СЗТЭЦ 1полуг09 24.07.09_07_КТЭЦ2" xfId="120" xr:uid="{00000000-0005-0000-0000-000072010000}"/>
    <cellStyle name="_Копия Теласи_Копия Бизнес - план на 2009 СЗ на 11 01 09_СЗТЭЦ 1полуг09 24.07.09_07_Ожидаемые КТЭЦ-2 на 151210г для Акулова" xfId="121" xr:uid="{00000000-0005-0000-0000-000073010000}"/>
    <cellStyle name="_Копия Теласи_Копия Бизнес - план на 2009 СЗ на 11 01 09_СЗТЭЦ 1полуг09 24.07.09_9 февраля Ожидаемые " xfId="122" xr:uid="{00000000-0005-0000-0000-000074010000}"/>
    <cellStyle name="_Копия Теласи_Копия Бизнес - план на 2009 СЗ на 11 01 09_СЗТЭЦ 1полуг09 24.07.09_дом 9 февраля Ожидаемые " xfId="123" xr:uid="{00000000-0005-0000-0000-000075010000}"/>
    <cellStyle name="_Копия Теласи_Копия Бизнес - план на 2009 СЗ на 11 01 09_СЗТЭЦ 1полуг09 24.07.09_Коэф.гот.формат ИНТЕР РАО)ПЭО 10.09.10" xfId="124" xr:uid="{00000000-0005-0000-0000-000076010000}"/>
    <cellStyle name="_Копия Теласи_Копия Бизнес - план на 2009 СЗ на 11 01 09_СЗТЭЦ 1полуг09 24.07.09_КТЭЦ-2_ Ожид 2011-исходник" xfId="125" xr:uid="{00000000-0005-0000-0000-000077010000}"/>
    <cellStyle name="_Копия Теласи_Копия Бизнес - план на 2009 СЗ на 11 01 09_СЗТЭЦ 1полуг09 24.07.09_ожидаемое CЗ-ТЭЦ 09-06-2010" xfId="126" xr:uid="{00000000-0005-0000-0000-000078010000}"/>
    <cellStyle name="_Копия Теласи_Копия Бизнес - план на 2009 СЗ на 11 01 09_СЗТЭЦ 1полуг09 24.07.09_СТЭС_2011-исходник" xfId="127" xr:uid="{00000000-0005-0000-0000-000079010000}"/>
    <cellStyle name="_Копия Теласи_Копия Бизнес - план на 2009 СЗ на 11 01 09_ФОРМАТ_БП" xfId="128" xr:uid="{00000000-0005-0000-0000-00007A010000}"/>
    <cellStyle name="_Копия Теласи_Копия Бизнес - план на 2009 СЗ на 11 01 09_ФОРМАТ_БП_07_КТЭЦ2" xfId="129" xr:uid="{00000000-0005-0000-0000-00007B010000}"/>
    <cellStyle name="_Копия Теласи_Копия СЗТЭЦ_БП_2009_1 квартал (Акулов - добавлен лист ОТС)" xfId="130" xr:uid="{00000000-0005-0000-0000-00007C010000}"/>
    <cellStyle name="_Копия Теласи_Копия СЗТЭЦ_БП_2009_1 квартал (Акулов - добавлен лист ОТС)_06_CЗТЭЦ_ожид на 15.12" xfId="131" xr:uid="{00000000-0005-0000-0000-00007D010000}"/>
    <cellStyle name="_Копия Теласи_Копия СЗТЭЦ_БП_2009_1 квартал (Акулов - добавлен лист ОТС)_07_КТЭЦ2" xfId="132" xr:uid="{00000000-0005-0000-0000-00007E010000}"/>
    <cellStyle name="_Копия Теласи_Копия СЗТЭЦ_БП_2009_1 квартал (Акулов - добавлен лист ОТС)_07_Ожидаемые КТЭЦ-2 на 151210г для Акулова" xfId="133" xr:uid="{00000000-0005-0000-0000-00007F010000}"/>
    <cellStyle name="_Копия Теласи_Копия СЗТЭЦ_БП_2009_1 квартал (Акулов - добавлен лист ОТС)_9 февраля Ожидаемые " xfId="134" xr:uid="{00000000-0005-0000-0000-000080010000}"/>
    <cellStyle name="_Копия Теласи_Копия СЗТЭЦ_БП_2009_1 квартал (Акулов - добавлен лист ОТС)_дом 9 февраля Ожидаемые " xfId="135" xr:uid="{00000000-0005-0000-0000-000081010000}"/>
    <cellStyle name="_Копия Теласи_Копия СЗТЭЦ_БП_2009_1 квартал (Акулов - добавлен лист ОТС)_Коэф.гот.формат ИНТЕР РАО)ПЭО 10.09.10" xfId="136" xr:uid="{00000000-0005-0000-0000-000082010000}"/>
    <cellStyle name="_Копия Теласи_Копия СЗТЭЦ_БП_2009_1 квартал (Акулов - добавлен лист ОТС)_КТЭЦ-2_ Ожид 2011-исходник" xfId="137" xr:uid="{00000000-0005-0000-0000-000083010000}"/>
    <cellStyle name="_Копия Теласи_Копия СЗТЭЦ_БП_2009_1 квартал (Акулов - добавлен лист ОТС)_ожидаемое CЗ-ТЭЦ 09-06-2010" xfId="138" xr:uid="{00000000-0005-0000-0000-000084010000}"/>
    <cellStyle name="_Копия Теласи_Копия СЗТЭЦ_БП_2009_1 квартал (Акулов - добавлен лист ОТС)_СТЭС_2011-исходник" xfId="139" xr:uid="{00000000-0005-0000-0000-000085010000}"/>
    <cellStyle name="_Копия Теласи_ожидаемое CЗ-ТЭЦ на 14 04 2010 " xfId="140" xr:uid="{00000000-0005-0000-0000-000086010000}"/>
    <cellStyle name="_Копия Теласи_отчет БП 1кв.09 ИвПГУ" xfId="141" xr:uid="{00000000-0005-0000-0000-000087010000}"/>
    <cellStyle name="_Копия Теласи_отчет БП 1кв.09 ИвПГУ_06_CЗТЭЦ_ожид на 15.12" xfId="142" xr:uid="{00000000-0005-0000-0000-000088010000}"/>
    <cellStyle name="_Копия Теласи_отчет БП 1кв.09 ИвПГУ_07_КТЭЦ2" xfId="143" xr:uid="{00000000-0005-0000-0000-000089010000}"/>
    <cellStyle name="_Копия Теласи_отчет БП 1кв.09 ИвПГУ_07_Ожидаемые КТЭЦ-2 на 151210г для Акулова" xfId="144" xr:uid="{00000000-0005-0000-0000-00008A010000}"/>
    <cellStyle name="_Копия Теласи_отчет БП 1кв.09 ИвПГУ_9 февраля Ожидаемые " xfId="145" xr:uid="{00000000-0005-0000-0000-00008B010000}"/>
    <cellStyle name="_Копия Теласи_отчет БП 1кв.09 ИвПГУ_дом 9 февраля Ожидаемые " xfId="146" xr:uid="{00000000-0005-0000-0000-00008C010000}"/>
    <cellStyle name="_Копия Теласи_отчет БП 1кв.09 ИвПГУ_Коэф.гот.формат ИНТЕР РАО)ПЭО 10.09.10" xfId="147" xr:uid="{00000000-0005-0000-0000-00008D010000}"/>
    <cellStyle name="_Копия Теласи_отчет БП 1кв.09 ИвПГУ_КТЭЦ-2_ Ожид 2011-исходник" xfId="148" xr:uid="{00000000-0005-0000-0000-00008E010000}"/>
    <cellStyle name="_Копия Теласи_отчет БП 1кв.09 ИвПГУ_ожидаемое CЗ-ТЭЦ 09-06-2010" xfId="149" xr:uid="{00000000-0005-0000-0000-00008F010000}"/>
    <cellStyle name="_Копия Теласи_отчет БП 1кв.09 ИвПГУ_СТЭС_2011-исходник" xfId="150" xr:uid="{00000000-0005-0000-0000-000090010000}"/>
    <cellStyle name="_Копия Теласи_рынок" xfId="151" xr:uid="{00000000-0005-0000-0000-000091010000}"/>
    <cellStyle name="_Копия Теласи_рынок_06_CЗТЭЦ_ожид на 15.12" xfId="152" xr:uid="{00000000-0005-0000-0000-000092010000}"/>
    <cellStyle name="_Копия Теласи_рынок_07_КТЭЦ2" xfId="153" xr:uid="{00000000-0005-0000-0000-000093010000}"/>
    <cellStyle name="_Копия Теласи_рынок_07_Ожидаемые КТЭЦ-2 на 151210г для Акулова" xfId="154" xr:uid="{00000000-0005-0000-0000-000094010000}"/>
    <cellStyle name="_Копия Теласи_рынок_9 февраля Ожидаемые " xfId="155" xr:uid="{00000000-0005-0000-0000-000095010000}"/>
    <cellStyle name="_Копия Теласи_рынок_дом 9 февраля Ожидаемые " xfId="156" xr:uid="{00000000-0005-0000-0000-000096010000}"/>
    <cellStyle name="_Копия Теласи_рынок_Коэф.гот.формат ИНТЕР РАО)ПЭО 10.09.10" xfId="157" xr:uid="{00000000-0005-0000-0000-000097010000}"/>
    <cellStyle name="_Копия Теласи_рынок_КТЭЦ-2_ Ожид 2011-исходник" xfId="158" xr:uid="{00000000-0005-0000-0000-000098010000}"/>
    <cellStyle name="_Копия Теласи_рынок_СТЭС_2011-исходник" xfId="159" xr:uid="{00000000-0005-0000-0000-000099010000}"/>
    <cellStyle name="_Копия Теласи_СЗТЭЦ 1полуг09 24.07.09" xfId="160" xr:uid="{00000000-0005-0000-0000-00009A010000}"/>
    <cellStyle name="_Копия Теласи_СЗТЭЦ 1полуг09 24.07.09_06_CЗТЭЦ_ожид на 15.12" xfId="161" xr:uid="{00000000-0005-0000-0000-00009B010000}"/>
    <cellStyle name="_Копия Теласи_СЗТЭЦ 1полуг09 24.07.09_07_КТЭЦ2" xfId="162" xr:uid="{00000000-0005-0000-0000-00009C010000}"/>
    <cellStyle name="_Копия Теласи_СЗТЭЦ 1полуг09 24.07.09_07_Ожидаемые КТЭЦ-2 на 151210г для Акулова" xfId="163" xr:uid="{00000000-0005-0000-0000-00009D010000}"/>
    <cellStyle name="_Копия Теласи_СЗТЭЦ 1полуг09 24.07.09_9 февраля Ожидаемые " xfId="164" xr:uid="{00000000-0005-0000-0000-00009E010000}"/>
    <cellStyle name="_Копия Теласи_СЗТЭЦ 1полуг09 24.07.09_дом 9 февраля Ожидаемые " xfId="165" xr:uid="{00000000-0005-0000-0000-00009F010000}"/>
    <cellStyle name="_Копия Теласи_СЗТЭЦ 1полуг09 24.07.09_Коэф.гот.формат ИНТЕР РАО)ПЭО 10.09.10" xfId="166" xr:uid="{00000000-0005-0000-0000-0000A0010000}"/>
    <cellStyle name="_Копия Теласи_СЗТЭЦ 1полуг09 24.07.09_КТЭЦ-2_ Ожид 2011-исходник" xfId="167" xr:uid="{00000000-0005-0000-0000-0000A1010000}"/>
    <cellStyle name="_Копия Теласи_СЗТЭЦ 1полуг09 24.07.09_ожидаемое CЗ-ТЭЦ 09-06-2010" xfId="168" xr:uid="{00000000-0005-0000-0000-0000A2010000}"/>
    <cellStyle name="_Копия Теласи_СЗТЭЦ 1полуг09 24.07.09_СТЭС_2011-исходник" xfId="169" xr:uid="{00000000-0005-0000-0000-0000A3010000}"/>
    <cellStyle name="_Копия Теласи_ФОРМАТ_БП" xfId="170" xr:uid="{00000000-0005-0000-0000-0000A4010000}"/>
    <cellStyle name="_Копия Теласи_ФОРМАТ_БП_07_КТЭЦ2" xfId="171" xr:uid="{00000000-0005-0000-0000-0000A5010000}"/>
    <cellStyle name="_Кредиты_01.01.2007" xfId="172" xr:uid="{00000000-0005-0000-0000-0000A6010000}"/>
    <cellStyle name="_КФЭМ_Консолидир" xfId="173" xr:uid="{00000000-0005-0000-0000-0000A7010000}"/>
    <cellStyle name="_Модель Экибастуз на 2004-2020 (09 04 07)" xfId="174" xr:uid="{00000000-0005-0000-0000-0000A8010000}"/>
    <cellStyle name="_Мтквари_03_03_v2" xfId="175" xr:uid="{00000000-0005-0000-0000-0000A9010000}"/>
    <cellStyle name="_Мтквари_08_06_v2" xfId="176" xr:uid="{00000000-0005-0000-0000-0000AA010000}"/>
    <cellStyle name="_МЭК Таблицы к БП на 2007 год помесячно (14.03.07)" xfId="177" xr:uid="{00000000-0005-0000-0000-0000AB010000}"/>
    <cellStyle name="_Отчеты БДДС_" xfId="178" xr:uid="{00000000-0005-0000-0000-0000AC010000}"/>
    <cellStyle name="_Первоочередное оборудование 2006 утверждено" xfId="179" xr:uid="{00000000-0005-0000-0000-0000AD010000}"/>
    <cellStyle name="_Перечень форм" xfId="180" xr:uid="{00000000-0005-0000-0000-0000AE010000}"/>
    <cellStyle name="_Плановая протяженность Января" xfId="181" xr:uid="{00000000-0005-0000-0000-0000AF010000}"/>
    <cellStyle name="_Производств-е показатели ЮНГ на 2005 на 49700 для согласования" xfId="182" xr:uid="{00000000-0005-0000-0000-0000B0010000}"/>
    <cellStyle name="_Рабочие таблицы для отчетности по МСФО" xfId="183" xr:uid="{00000000-0005-0000-0000-0000B1010000}"/>
    <cellStyle name="_Расчет ВВ подстанций" xfId="184" xr:uid="{00000000-0005-0000-0000-0000B2010000}"/>
    <cellStyle name="_Расчет ВЛ таб.формата 12 рыба" xfId="185" xr:uid="{00000000-0005-0000-0000-0000B3010000}"/>
    <cellStyle name="_Расш. доп. инф. (на 31.12.2005г.)" xfId="186" xr:uid="{00000000-0005-0000-0000-0000B4010000}"/>
    <cellStyle name="_Расшифровка забаланс статей (на 30.06.2005г.)" xfId="187" xr:uid="{00000000-0005-0000-0000-0000B5010000}"/>
    <cellStyle name="_Расшифровка забаланса (на 31.12.2005г.)" xfId="188" xr:uid="{00000000-0005-0000-0000-0000B6010000}"/>
    <cellStyle name="_Расшифровка ОПУ-форма 2 (за год 2005г.)" xfId="189" xr:uid="{00000000-0005-0000-0000-0000B7010000}"/>
    <cellStyle name="_Расшифровка статей баланса (на 30.06.2005г.)" xfId="190" xr:uid="{00000000-0005-0000-0000-0000B8010000}"/>
    <cellStyle name="_расшифровка ф. 2" xfId="191" xr:uid="{00000000-0005-0000-0000-0000B9010000}"/>
    <cellStyle name="_Свод бюджетов за 5 м-цев" xfId="192" xr:uid="{00000000-0005-0000-0000-0000BA010000}"/>
    <cellStyle name="_Свод вариант с расц ДМТС_07 03" xfId="193" xr:uid="{00000000-0005-0000-0000-0000BB010000}"/>
    <cellStyle name="_Свод инвестиций_13.01" xfId="194" xr:uid="{00000000-0005-0000-0000-0000BC010000}"/>
    <cellStyle name="_Свод форматов_БДДС" xfId="195" xr:uid="{00000000-0005-0000-0000-0000BD010000}"/>
    <cellStyle name="_СВОД Формы ФЗБП-1 и ФЗБП-2 на 2007 год" xfId="196" xr:uid="{00000000-0005-0000-0000-0000BE010000}"/>
    <cellStyle name="_СеверАлмаз,2этап-экономика(для выпуска)" xfId="197" xr:uid="{00000000-0005-0000-0000-0000BF010000}"/>
    <cellStyle name="_Сергееву_тех х-ки_18.11" xfId="198" xr:uid="{00000000-0005-0000-0000-0000C0010000}"/>
    <cellStyle name="_справочник и форма ДДС 24.08.09" xfId="199" xr:uid="{00000000-0005-0000-0000-0000C1010000}"/>
    <cellStyle name="_табл 3.1., 3.2. (увеличен.угла на 2 гр - печать) 08.08.08" xfId="200" xr:uid="{00000000-0005-0000-0000-0000C2010000}"/>
    <cellStyle name="_Таблица соответствия ЕПС и ТВ 060610" xfId="201" xr:uid="{00000000-0005-0000-0000-0000C3010000}"/>
    <cellStyle name="_Таблица соответствия ЕПС и ТВ МСФО PL" xfId="202" xr:uid="{00000000-0005-0000-0000-0000C4010000}"/>
    <cellStyle name="_Таблицы_ПХД2008" xfId="203" xr:uid="{00000000-0005-0000-0000-0000C5010000}"/>
    <cellStyle name="_ТАБЛИЦЫ_РАССЫЛКА_4" xfId="204" xr:uid="{00000000-0005-0000-0000-0000C6010000}"/>
    <cellStyle name="_Узлы учета_10.08" xfId="205" xr:uid="{00000000-0005-0000-0000-0000C7010000}"/>
    <cellStyle name="_Форма 2 - предложенная аудиторами" xfId="206" xr:uid="{00000000-0005-0000-0000-0000C8010000}"/>
    <cellStyle name="_Форма исх." xfId="207" xr:uid="{00000000-0005-0000-0000-0000C9010000}"/>
    <cellStyle name="_Формат БДДС_061020_sent" xfId="208" xr:uid="{00000000-0005-0000-0000-0000CA010000}"/>
    <cellStyle name="_Штатка на 01.04.2011 год расстановка на 27.06.2011" xfId="209" xr:uid="{00000000-0005-0000-0000-0000CB010000}"/>
    <cellStyle name="_Штатка на 01.07.2011 год расстановка на 27.06.2011" xfId="210" xr:uid="{00000000-0005-0000-0000-0000CC010000}"/>
    <cellStyle name="_Экономика" xfId="211" xr:uid="{00000000-0005-0000-0000-0000CD010000}"/>
    <cellStyle name="’К‰Э [0.00]" xfId="461" xr:uid="{00000000-0005-0000-0000-0000CE010000}"/>
    <cellStyle name="’К‰Э [0.00] 2" xfId="462" xr:uid="{00000000-0005-0000-0000-0000CF010000}"/>
    <cellStyle name="’К‰Э [0.00] 3" xfId="463" xr:uid="{00000000-0005-0000-0000-0000D0010000}"/>
    <cellStyle name="”ќђќ‘ћ‚›‰" xfId="465" xr:uid="{00000000-0005-0000-0000-0000D1010000}"/>
    <cellStyle name="”љ‘ђћ‚ђќќ›‰" xfId="466" xr:uid="{00000000-0005-0000-0000-0000D2010000}"/>
    <cellStyle name="„…ќ…†ќ›‰" xfId="467" xr:uid="{00000000-0005-0000-0000-0000D3010000}"/>
    <cellStyle name="+" xfId="472" xr:uid="{00000000-0005-0000-0000-0000D4010000}"/>
    <cellStyle name="+ 2" xfId="473" xr:uid="{00000000-0005-0000-0000-0000D5010000}"/>
    <cellStyle name="=C:\WINNT\SYSTEM32\COMMAND.COM" xfId="474" xr:uid="{00000000-0005-0000-0000-0000D6010000}"/>
    <cellStyle name="=C:\WINNT35\SYSTEM32\COMMAND.COM" xfId="475" xr:uid="{00000000-0005-0000-0000-0000D7010000}"/>
    <cellStyle name="=C:\WINNT35\SYSTEM32\COMMAND.COM 2" xfId="476" xr:uid="{00000000-0005-0000-0000-0000D8010000}"/>
    <cellStyle name="=C:\WINNT35\SYSTEM32\COMMAND.COM 3" xfId="477" xr:uid="{00000000-0005-0000-0000-0000D9010000}"/>
    <cellStyle name="=C:\WINNT35\SYSTEM32\COMMAND.COM 4" xfId="478" xr:uid="{00000000-0005-0000-0000-0000DA010000}"/>
    <cellStyle name="=C:\WINNT35\SYSTEM32\COMMAND.COM_TheModel_30_2012" xfId="479" xr:uid="{00000000-0005-0000-0000-0000DB010000}"/>
    <cellStyle name="=D:\WINNT\SYSTEM32\COMMAND.COM" xfId="480" xr:uid="{00000000-0005-0000-0000-0000DC010000}"/>
    <cellStyle name="¬µrka" xfId="481" xr:uid="{00000000-0005-0000-0000-0000DD010000}"/>
    <cellStyle name="‡ђѓћ‹ћ‚ћљ1" xfId="470" xr:uid="{00000000-0005-0000-0000-0000DE010000}"/>
    <cellStyle name="‡ђѓћ‹ћ‚ћљ2" xfId="471" xr:uid="{00000000-0005-0000-0000-0000DF010000}"/>
    <cellStyle name="’ћѓћ‚›‰" xfId="464" xr:uid="{00000000-0005-0000-0000-0000E0010000}"/>
    <cellStyle name="0" xfId="482" xr:uid="{00000000-0005-0000-0000-0000E1010000}"/>
    <cellStyle name="0,00;0;" xfId="483" xr:uid="{00000000-0005-0000-0000-0000E2010000}"/>
    <cellStyle name="0,00;0; 2" xfId="484" xr:uid="{00000000-0005-0000-0000-0000E3010000}"/>
    <cellStyle name="0,00;0;_Анализ индикаторов на обесценение ИРРАО" xfId="485" xr:uid="{00000000-0005-0000-0000-0000E4010000}"/>
    <cellStyle name="1" xfId="486" xr:uid="{00000000-0005-0000-0000-0000E5010000}"/>
    <cellStyle name="1 2" xfId="487" xr:uid="{00000000-0005-0000-0000-0000E6010000}"/>
    <cellStyle name="1_Nadpis" xfId="488" xr:uid="{00000000-0005-0000-0000-0000E7010000}"/>
    <cellStyle name="1Normal" xfId="489" xr:uid="{00000000-0005-0000-0000-0000E8010000}"/>
    <cellStyle name="20% - Accent1" xfId="496" xr:uid="{00000000-0005-0000-0000-0000E9010000}"/>
    <cellStyle name="20% - Accent1 2" xfId="497" xr:uid="{00000000-0005-0000-0000-0000EA010000}"/>
    <cellStyle name="20% - Accent1_Полная модель Абхазия 31032011_bv" xfId="498" xr:uid="{00000000-0005-0000-0000-0000EB010000}"/>
    <cellStyle name="20% - Accent2" xfId="499" xr:uid="{00000000-0005-0000-0000-0000EC010000}"/>
    <cellStyle name="20% - Accent2 2" xfId="500" xr:uid="{00000000-0005-0000-0000-0000ED010000}"/>
    <cellStyle name="20% - Accent2_Полная модель Абхазия 31032011_bv" xfId="501" xr:uid="{00000000-0005-0000-0000-0000EE010000}"/>
    <cellStyle name="20% - Accent3" xfId="502" xr:uid="{00000000-0005-0000-0000-0000EF010000}"/>
    <cellStyle name="20% - Accent3 2" xfId="503" xr:uid="{00000000-0005-0000-0000-0000F0010000}"/>
    <cellStyle name="20% - Accent3_Полная модель Абхазия 31032011_bv" xfId="504" xr:uid="{00000000-0005-0000-0000-0000F1010000}"/>
    <cellStyle name="20% - Accent4" xfId="505" xr:uid="{00000000-0005-0000-0000-0000F2010000}"/>
    <cellStyle name="20% - Accent4 2" xfId="506" xr:uid="{00000000-0005-0000-0000-0000F3010000}"/>
    <cellStyle name="20% - Accent4_Полная модель Абхазия 31032011_bv" xfId="507" xr:uid="{00000000-0005-0000-0000-0000F4010000}"/>
    <cellStyle name="20% - Accent5" xfId="508" xr:uid="{00000000-0005-0000-0000-0000F5010000}"/>
    <cellStyle name="20% - Accent5 2" xfId="509" xr:uid="{00000000-0005-0000-0000-0000F6010000}"/>
    <cellStyle name="20% - Accent5_Полная модель Абхазия 31032011_bv" xfId="510" xr:uid="{00000000-0005-0000-0000-0000F7010000}"/>
    <cellStyle name="20% - Accent6" xfId="511" xr:uid="{00000000-0005-0000-0000-0000F8010000}"/>
    <cellStyle name="20% - Accent6 2" xfId="512" xr:uid="{00000000-0005-0000-0000-0000F9010000}"/>
    <cellStyle name="20% - Accent6_Полная модель Абхазия 31032011_bv" xfId="513" xr:uid="{00000000-0005-0000-0000-0000FA010000}"/>
    <cellStyle name="20% - Акцент1 2" xfId="490" xr:uid="{00000000-0005-0000-0000-0000FB010000}"/>
    <cellStyle name="20% - Акцент2 2" xfId="491" xr:uid="{00000000-0005-0000-0000-0000FC010000}"/>
    <cellStyle name="20% - Акцент3 2" xfId="492" xr:uid="{00000000-0005-0000-0000-0000FD010000}"/>
    <cellStyle name="20% - Акцент4 2" xfId="493" xr:uid="{00000000-0005-0000-0000-0000FE010000}"/>
    <cellStyle name="20% - Акцент5 2" xfId="494" xr:uid="{00000000-0005-0000-0000-0000FF010000}"/>
    <cellStyle name="20% - Акцент6 2" xfId="495" xr:uid="{00000000-0005-0000-0000-000000020000}"/>
    <cellStyle name="3" xfId="514" xr:uid="{00000000-0005-0000-0000-000001020000}"/>
    <cellStyle name="3 2" xfId="515" xr:uid="{00000000-0005-0000-0000-000002020000}"/>
    <cellStyle name="40% - Accent1" xfId="522" xr:uid="{00000000-0005-0000-0000-000003020000}"/>
    <cellStyle name="40% - Accent1 2" xfId="523" xr:uid="{00000000-0005-0000-0000-000004020000}"/>
    <cellStyle name="40% - Accent1_Полная модель Абхазия 31032011_bv" xfId="524" xr:uid="{00000000-0005-0000-0000-000005020000}"/>
    <cellStyle name="40% - Accent2" xfId="525" xr:uid="{00000000-0005-0000-0000-000006020000}"/>
    <cellStyle name="40% - Accent2 2" xfId="526" xr:uid="{00000000-0005-0000-0000-000007020000}"/>
    <cellStyle name="40% - Accent2_Полная модель Абхазия 31032011_bv" xfId="527" xr:uid="{00000000-0005-0000-0000-000008020000}"/>
    <cellStyle name="40% - Accent3" xfId="528" xr:uid="{00000000-0005-0000-0000-000009020000}"/>
    <cellStyle name="40% - Accent3 2" xfId="529" xr:uid="{00000000-0005-0000-0000-00000A020000}"/>
    <cellStyle name="40% - Accent3_Полная модель Абхазия 31032011_bv" xfId="530" xr:uid="{00000000-0005-0000-0000-00000B020000}"/>
    <cellStyle name="40% - Accent4" xfId="531" xr:uid="{00000000-0005-0000-0000-00000C020000}"/>
    <cellStyle name="40% - Accent4 2" xfId="532" xr:uid="{00000000-0005-0000-0000-00000D020000}"/>
    <cellStyle name="40% - Accent4_Полная модель Абхазия 31032011_bv" xfId="533" xr:uid="{00000000-0005-0000-0000-00000E020000}"/>
    <cellStyle name="40% - Accent5" xfId="534" xr:uid="{00000000-0005-0000-0000-00000F020000}"/>
    <cellStyle name="40% - Accent5 2" xfId="535" xr:uid="{00000000-0005-0000-0000-000010020000}"/>
    <cellStyle name="40% - Accent5_Полная модель Абхазия 31032011_bv" xfId="536" xr:uid="{00000000-0005-0000-0000-000011020000}"/>
    <cellStyle name="40% - Accent6" xfId="537" xr:uid="{00000000-0005-0000-0000-000012020000}"/>
    <cellStyle name="40% - Accent6 2" xfId="538" xr:uid="{00000000-0005-0000-0000-000013020000}"/>
    <cellStyle name="40% - Accent6_Полная модель Абхазия 31032011_bv" xfId="539" xr:uid="{00000000-0005-0000-0000-000014020000}"/>
    <cellStyle name="40% - Акцент1 2" xfId="516" xr:uid="{00000000-0005-0000-0000-000015020000}"/>
    <cellStyle name="40% - Акцент2 2" xfId="517" xr:uid="{00000000-0005-0000-0000-000016020000}"/>
    <cellStyle name="40% - Акцент3 2" xfId="518" xr:uid="{00000000-0005-0000-0000-000017020000}"/>
    <cellStyle name="40% - Акцент4 2" xfId="519" xr:uid="{00000000-0005-0000-0000-000018020000}"/>
    <cellStyle name="40% - Акцент5 2" xfId="520" xr:uid="{00000000-0005-0000-0000-000019020000}"/>
    <cellStyle name="40% - Акцент6 2" xfId="521" xr:uid="{00000000-0005-0000-0000-00001A020000}"/>
    <cellStyle name="50%" xfId="540" xr:uid="{00000000-0005-0000-0000-00001B020000}"/>
    <cellStyle name="50% 2" xfId="541" xr:uid="{00000000-0005-0000-0000-00001C020000}"/>
    <cellStyle name="60% - Accent1" xfId="548" xr:uid="{00000000-0005-0000-0000-00001D020000}"/>
    <cellStyle name="60% - Accent1 2" xfId="549" xr:uid="{00000000-0005-0000-0000-00001E020000}"/>
    <cellStyle name="60% - Accent1_Полная модель Абхазия 31032011_bv" xfId="550" xr:uid="{00000000-0005-0000-0000-00001F020000}"/>
    <cellStyle name="60% - Accent2" xfId="551" xr:uid="{00000000-0005-0000-0000-000020020000}"/>
    <cellStyle name="60% - Accent2 2" xfId="552" xr:uid="{00000000-0005-0000-0000-000021020000}"/>
    <cellStyle name="60% - Accent2_Полная модель Абхазия 31032011_bv" xfId="553" xr:uid="{00000000-0005-0000-0000-000022020000}"/>
    <cellStyle name="60% - Accent3" xfId="554" xr:uid="{00000000-0005-0000-0000-000023020000}"/>
    <cellStyle name="60% - Accent3 2" xfId="555" xr:uid="{00000000-0005-0000-0000-000024020000}"/>
    <cellStyle name="60% - Accent3_Полная модель Абхазия 31032011_bv" xfId="556" xr:uid="{00000000-0005-0000-0000-000025020000}"/>
    <cellStyle name="60% - Accent4" xfId="557" xr:uid="{00000000-0005-0000-0000-000026020000}"/>
    <cellStyle name="60% - Accent4 2" xfId="558" xr:uid="{00000000-0005-0000-0000-000027020000}"/>
    <cellStyle name="60% - Accent4_Полная модель Абхазия 31032011_bv" xfId="559" xr:uid="{00000000-0005-0000-0000-000028020000}"/>
    <cellStyle name="60% - Accent5" xfId="560" xr:uid="{00000000-0005-0000-0000-000029020000}"/>
    <cellStyle name="60% - Accent5 2" xfId="561" xr:uid="{00000000-0005-0000-0000-00002A020000}"/>
    <cellStyle name="60% - Accent5_Полная модель Абхазия 31032011_bv" xfId="562" xr:uid="{00000000-0005-0000-0000-00002B020000}"/>
    <cellStyle name="60% - Accent6" xfId="563" xr:uid="{00000000-0005-0000-0000-00002C020000}"/>
    <cellStyle name="60% - Accent6 2" xfId="564" xr:uid="{00000000-0005-0000-0000-00002D020000}"/>
    <cellStyle name="60% - Accent6_Полная модель Абхазия 31032011_bv" xfId="565" xr:uid="{00000000-0005-0000-0000-00002E020000}"/>
    <cellStyle name="60% - Акцент1 2" xfId="542" xr:uid="{00000000-0005-0000-0000-00002F020000}"/>
    <cellStyle name="60% - Акцент2 2" xfId="543" xr:uid="{00000000-0005-0000-0000-000030020000}"/>
    <cellStyle name="60% - Акцент3 2" xfId="544" xr:uid="{00000000-0005-0000-0000-000031020000}"/>
    <cellStyle name="60% - Акцент4 2" xfId="545" xr:uid="{00000000-0005-0000-0000-000032020000}"/>
    <cellStyle name="60% - Акцент5 2" xfId="546" xr:uid="{00000000-0005-0000-0000-000033020000}"/>
    <cellStyle name="60% - Акцент6 2" xfId="547" xr:uid="{00000000-0005-0000-0000-000034020000}"/>
    <cellStyle name="6Code" xfId="566" xr:uid="{00000000-0005-0000-0000-000035020000}"/>
    <cellStyle name="75%" xfId="567" xr:uid="{00000000-0005-0000-0000-000036020000}"/>
    <cellStyle name="75% 2" xfId="568" xr:uid="{00000000-0005-0000-0000-000037020000}"/>
    <cellStyle name="8pt" xfId="569" xr:uid="{00000000-0005-0000-0000-000038020000}"/>
    <cellStyle name="Accent1" xfId="1330" xr:uid="{00000000-0005-0000-0000-000039020000}"/>
    <cellStyle name="Accent1 - 20%" xfId="1331" xr:uid="{00000000-0005-0000-0000-00003A020000}"/>
    <cellStyle name="Accent1 - 40%" xfId="1332" xr:uid="{00000000-0005-0000-0000-00003B020000}"/>
    <cellStyle name="Accent1 - 60%" xfId="1333" xr:uid="{00000000-0005-0000-0000-00003C020000}"/>
    <cellStyle name="Accent1 2" xfId="1334" xr:uid="{00000000-0005-0000-0000-00003D020000}"/>
    <cellStyle name="Accent1 3" xfId="1335" xr:uid="{00000000-0005-0000-0000-00003E020000}"/>
    <cellStyle name="Accent1 4" xfId="1336" xr:uid="{00000000-0005-0000-0000-00003F020000}"/>
    <cellStyle name="Accent1 5" xfId="1337" xr:uid="{00000000-0005-0000-0000-000040020000}"/>
    <cellStyle name="Accent1_Полная модель Абхазия 31032011_bv" xfId="1338" xr:uid="{00000000-0005-0000-0000-000041020000}"/>
    <cellStyle name="Accent2" xfId="1339" xr:uid="{00000000-0005-0000-0000-000042020000}"/>
    <cellStyle name="Accent2 - 20%" xfId="1340" xr:uid="{00000000-0005-0000-0000-000043020000}"/>
    <cellStyle name="Accent2 - 40%" xfId="1341" xr:uid="{00000000-0005-0000-0000-000044020000}"/>
    <cellStyle name="Accent2 - 60%" xfId="1342" xr:uid="{00000000-0005-0000-0000-000045020000}"/>
    <cellStyle name="Accent2 2" xfId="1343" xr:uid="{00000000-0005-0000-0000-000046020000}"/>
    <cellStyle name="Accent2 3" xfId="1344" xr:uid="{00000000-0005-0000-0000-000047020000}"/>
    <cellStyle name="Accent2 4" xfId="1345" xr:uid="{00000000-0005-0000-0000-000048020000}"/>
    <cellStyle name="Accent2 5" xfId="1346" xr:uid="{00000000-0005-0000-0000-000049020000}"/>
    <cellStyle name="Accent2_Полная модель Абхазия 31032011_bv" xfId="1347" xr:uid="{00000000-0005-0000-0000-00004A020000}"/>
    <cellStyle name="Accent3" xfId="1348" xr:uid="{00000000-0005-0000-0000-00004B020000}"/>
    <cellStyle name="Accent3 - 20%" xfId="1349" xr:uid="{00000000-0005-0000-0000-00004C020000}"/>
    <cellStyle name="Accent3 - 40%" xfId="1350" xr:uid="{00000000-0005-0000-0000-00004D020000}"/>
    <cellStyle name="Accent3 - 60%" xfId="1351" xr:uid="{00000000-0005-0000-0000-00004E020000}"/>
    <cellStyle name="Accent3 2" xfId="1352" xr:uid="{00000000-0005-0000-0000-00004F020000}"/>
    <cellStyle name="Accent3 3" xfId="1353" xr:uid="{00000000-0005-0000-0000-000050020000}"/>
    <cellStyle name="Accent3 4" xfId="1354" xr:uid="{00000000-0005-0000-0000-000051020000}"/>
    <cellStyle name="Accent3 5" xfId="1355" xr:uid="{00000000-0005-0000-0000-000052020000}"/>
    <cellStyle name="Accent3_Полная модель Абхазия 31032011_bv" xfId="1356" xr:uid="{00000000-0005-0000-0000-000053020000}"/>
    <cellStyle name="Accent4" xfId="1357" xr:uid="{00000000-0005-0000-0000-000054020000}"/>
    <cellStyle name="Accent4 - 20%" xfId="1358" xr:uid="{00000000-0005-0000-0000-000055020000}"/>
    <cellStyle name="Accent4 - 40%" xfId="1359" xr:uid="{00000000-0005-0000-0000-000056020000}"/>
    <cellStyle name="Accent4 - 60%" xfId="1360" xr:uid="{00000000-0005-0000-0000-000057020000}"/>
    <cellStyle name="Accent4 2" xfId="1361" xr:uid="{00000000-0005-0000-0000-000058020000}"/>
    <cellStyle name="Accent4 3" xfId="1362" xr:uid="{00000000-0005-0000-0000-000059020000}"/>
    <cellStyle name="Accent4 4" xfId="1363" xr:uid="{00000000-0005-0000-0000-00005A020000}"/>
    <cellStyle name="Accent4 5" xfId="1364" xr:uid="{00000000-0005-0000-0000-00005B020000}"/>
    <cellStyle name="Accent4_Полная модель Абхазия 31032011_bv" xfId="1365" xr:uid="{00000000-0005-0000-0000-00005C020000}"/>
    <cellStyle name="Accent5" xfId="1366" xr:uid="{00000000-0005-0000-0000-00005D020000}"/>
    <cellStyle name="Accent5 - 20%" xfId="1367" xr:uid="{00000000-0005-0000-0000-00005E020000}"/>
    <cellStyle name="Accent5 - 40%" xfId="1368" xr:uid="{00000000-0005-0000-0000-00005F020000}"/>
    <cellStyle name="Accent5 - 60%" xfId="1369" xr:uid="{00000000-0005-0000-0000-000060020000}"/>
    <cellStyle name="Accent5 2" xfId="1370" xr:uid="{00000000-0005-0000-0000-000061020000}"/>
    <cellStyle name="Accent5 3" xfId="1371" xr:uid="{00000000-0005-0000-0000-000062020000}"/>
    <cellStyle name="Accent5 4" xfId="1372" xr:uid="{00000000-0005-0000-0000-000063020000}"/>
    <cellStyle name="Accent5 5" xfId="1373" xr:uid="{00000000-0005-0000-0000-000064020000}"/>
    <cellStyle name="Accent5_Полная модель Абхазия 31032011_bv" xfId="1374" xr:uid="{00000000-0005-0000-0000-000065020000}"/>
    <cellStyle name="Accent6" xfId="1375" xr:uid="{00000000-0005-0000-0000-000066020000}"/>
    <cellStyle name="Accent6 - 20%" xfId="1376" xr:uid="{00000000-0005-0000-0000-000067020000}"/>
    <cellStyle name="Accent6 - 40%" xfId="1377" xr:uid="{00000000-0005-0000-0000-000068020000}"/>
    <cellStyle name="Accent6 - 60%" xfId="1378" xr:uid="{00000000-0005-0000-0000-000069020000}"/>
    <cellStyle name="Accent6 2" xfId="1379" xr:uid="{00000000-0005-0000-0000-00006A020000}"/>
    <cellStyle name="Accent6 3" xfId="1380" xr:uid="{00000000-0005-0000-0000-00006B020000}"/>
    <cellStyle name="Accent6 4" xfId="1381" xr:uid="{00000000-0005-0000-0000-00006C020000}"/>
    <cellStyle name="Accent6 5" xfId="1382" xr:uid="{00000000-0005-0000-0000-00006D020000}"/>
    <cellStyle name="Accent6_Полная модель Абхазия 31032011_bv" xfId="1383" xr:uid="{00000000-0005-0000-0000-00006E020000}"/>
    <cellStyle name="Aeia?nnueea" xfId="1384" xr:uid="{00000000-0005-0000-0000-00006F020000}"/>
    <cellStyle name="AFE" xfId="1385" xr:uid="{00000000-0005-0000-0000-000070020000}"/>
    <cellStyle name="al_laroux_7_laroux_1_²ðò²Ê´²ÜÎ" xfId="1386" xr:uid="{00000000-0005-0000-0000-000071020000}"/>
    <cellStyle name="alternate" xfId="1387" xr:uid="{00000000-0005-0000-0000-000072020000}"/>
    <cellStyle name="Array" xfId="1388" xr:uid="{00000000-0005-0000-0000-000073020000}"/>
    <cellStyle name="ARtext" xfId="1389" xr:uid="{00000000-0005-0000-0000-000074020000}"/>
    <cellStyle name="Bad" xfId="1390" xr:uid="{00000000-0005-0000-0000-000075020000}"/>
    <cellStyle name="Bad 2" xfId="1391" xr:uid="{00000000-0005-0000-0000-000076020000}"/>
    <cellStyle name="Bad_Полная модель Абхазия 31032011_bv" xfId="1392" xr:uid="{00000000-0005-0000-0000-000077020000}"/>
    <cellStyle name="Blue" xfId="1393" xr:uid="{00000000-0005-0000-0000-000078020000}"/>
    <cellStyle name="Body" xfId="1394" xr:uid="{00000000-0005-0000-0000-000079020000}"/>
    <cellStyle name="Calc Currency (0)" xfId="1395" xr:uid="{00000000-0005-0000-0000-00007A020000}"/>
    <cellStyle name="Calc Currency (0) 2" xfId="1396" xr:uid="{00000000-0005-0000-0000-00007B020000}"/>
    <cellStyle name="Calc Currency (0) 3" xfId="1397" xr:uid="{00000000-0005-0000-0000-00007C020000}"/>
    <cellStyle name="Calc Currency (0) 4" xfId="1398" xr:uid="{00000000-0005-0000-0000-00007D020000}"/>
    <cellStyle name="Calc Currency (0) 5" xfId="1399" xr:uid="{00000000-0005-0000-0000-00007E020000}"/>
    <cellStyle name="Calc Currency (0) 6" xfId="1400" xr:uid="{00000000-0005-0000-0000-00007F020000}"/>
    <cellStyle name="Calc Currency (0)_~9660252" xfId="1401" xr:uid="{00000000-0005-0000-0000-000080020000}"/>
    <cellStyle name="Calc Currency (2)" xfId="1402" xr:uid="{00000000-0005-0000-0000-000081020000}"/>
    <cellStyle name="Calc Percent (0)" xfId="1403" xr:uid="{00000000-0005-0000-0000-000082020000}"/>
    <cellStyle name="Calc Percent (1)" xfId="1404" xr:uid="{00000000-0005-0000-0000-000083020000}"/>
    <cellStyle name="Calc Percent (2)" xfId="1405" xr:uid="{00000000-0005-0000-0000-000084020000}"/>
    <cellStyle name="Calc Units (0)" xfId="1406" xr:uid="{00000000-0005-0000-0000-000085020000}"/>
    <cellStyle name="Calc Units (1)" xfId="1407" xr:uid="{00000000-0005-0000-0000-000086020000}"/>
    <cellStyle name="Calc Units (2)" xfId="1408" xr:uid="{00000000-0005-0000-0000-000087020000}"/>
    <cellStyle name="Calculation" xfId="1409" xr:uid="{00000000-0005-0000-0000-000088020000}"/>
    <cellStyle name="Calculation 2" xfId="1410" xr:uid="{00000000-0005-0000-0000-000089020000}"/>
    <cellStyle name="Calculation 2 2" xfId="1411" xr:uid="{00000000-0005-0000-0000-00008A020000}"/>
    <cellStyle name="Calculation 3" xfId="1412" xr:uid="{00000000-0005-0000-0000-00008B020000}"/>
    <cellStyle name="Calculation_Полная модель Абхазия 31032011_bv" xfId="1413" xr:uid="{00000000-0005-0000-0000-00008C020000}"/>
    <cellStyle name="Call ins" xfId="1414" xr:uid="{00000000-0005-0000-0000-00008D020000}"/>
    <cellStyle name="Celkem" xfId="1415" xr:uid="{00000000-0005-0000-0000-00008E020000}"/>
    <cellStyle name="Centered Heading" xfId="1416" xr:uid="{00000000-0005-0000-0000-00008F020000}"/>
    <cellStyle name="ChartingText" xfId="1417" xr:uid="{00000000-0005-0000-0000-000090020000}"/>
    <cellStyle name="Check" xfId="1418" xr:uid="{00000000-0005-0000-0000-000091020000}"/>
    <cellStyle name="Check Cell" xfId="1419" xr:uid="{00000000-0005-0000-0000-000092020000}"/>
    <cellStyle name="Check Cell 2" xfId="1420" xr:uid="{00000000-0005-0000-0000-000093020000}"/>
    <cellStyle name="Check Cell_Полная модель Абхазия 31032011_bv" xfId="1421" xr:uid="{00000000-0005-0000-0000-000094020000}"/>
    <cellStyle name="chiffres #" xfId="1422" xr:uid="{00000000-0005-0000-0000-000095020000}"/>
    <cellStyle name="chiffres #,###" xfId="1423" xr:uid="{00000000-0005-0000-0000-000096020000}"/>
    <cellStyle name="Chiffres #,##%" xfId="1424" xr:uid="{00000000-0005-0000-0000-000097020000}"/>
    <cellStyle name="Chiffres #,##% 2" xfId="1425" xr:uid="{00000000-0005-0000-0000-000098020000}"/>
    <cellStyle name="clc%" xfId="1426" xr:uid="{00000000-0005-0000-0000-000099020000}"/>
    <cellStyle name="clc0" xfId="1427" xr:uid="{00000000-0005-0000-0000-00009A020000}"/>
    <cellStyle name="clc1" xfId="1428" xr:uid="{00000000-0005-0000-0000-00009B020000}"/>
    <cellStyle name="clc2" xfId="1429" xr:uid="{00000000-0005-0000-0000-00009C020000}"/>
    <cellStyle name="CLCdate" xfId="1430" xr:uid="{00000000-0005-0000-0000-00009D020000}"/>
    <cellStyle name="CMK" xfId="1431" xr:uid="{00000000-0005-0000-0000-00009E020000}"/>
    <cellStyle name="CMK 2" xfId="1432" xr:uid="{00000000-0005-0000-0000-00009F020000}"/>
    <cellStyle name="Code" xfId="1433" xr:uid="{00000000-0005-0000-0000-0000A0020000}"/>
    <cellStyle name="Code 2" xfId="1434" xr:uid="{00000000-0005-0000-0000-0000A1020000}"/>
    <cellStyle name="Code 3" xfId="1435" xr:uid="{00000000-0005-0000-0000-0000A2020000}"/>
    <cellStyle name="Code 4" xfId="1436" xr:uid="{00000000-0005-0000-0000-0000A3020000}"/>
    <cellStyle name="Code Section" xfId="1437" xr:uid="{00000000-0005-0000-0000-0000A4020000}"/>
    <cellStyle name="Code_Analogs Sales EBITDA per employee" xfId="1438" xr:uid="{00000000-0005-0000-0000-0000A5020000}"/>
    <cellStyle name="ColumnHeaderNormal" xfId="1439" xr:uid="{00000000-0005-0000-0000-0000A6020000}"/>
    <cellStyle name="Comma [00]" xfId="1440" xr:uid="{00000000-0005-0000-0000-0000A7020000}"/>
    <cellStyle name="Comma 0" xfId="1441" xr:uid="{00000000-0005-0000-0000-0000A8020000}"/>
    <cellStyle name="Comma 0*" xfId="1451" xr:uid="{00000000-0005-0000-0000-0000A9020000}"/>
    <cellStyle name="Comma 0.0" xfId="1442" xr:uid="{00000000-0005-0000-0000-0000AA020000}"/>
    <cellStyle name="Comma 0.0 2" xfId="1443" xr:uid="{00000000-0005-0000-0000-0000AB020000}"/>
    <cellStyle name="Comma 0.0 3" xfId="1444" xr:uid="{00000000-0005-0000-0000-0000AC020000}"/>
    <cellStyle name="Comma 0.00" xfId="1445" xr:uid="{00000000-0005-0000-0000-0000AD020000}"/>
    <cellStyle name="Comma 0.00 2" xfId="1446" xr:uid="{00000000-0005-0000-0000-0000AE020000}"/>
    <cellStyle name="Comma 0.00 3" xfId="1447" xr:uid="{00000000-0005-0000-0000-0000AF020000}"/>
    <cellStyle name="Comma 0.000" xfId="1448" xr:uid="{00000000-0005-0000-0000-0000B0020000}"/>
    <cellStyle name="Comma 0.000 2" xfId="1449" xr:uid="{00000000-0005-0000-0000-0000B1020000}"/>
    <cellStyle name="Comma 0.000 3" xfId="1450" xr:uid="{00000000-0005-0000-0000-0000B2020000}"/>
    <cellStyle name="Comma 10" xfId="1452" xr:uid="{00000000-0005-0000-0000-0000B3020000}"/>
    <cellStyle name="Comma 10 2" xfId="1453" xr:uid="{00000000-0005-0000-0000-0000B4020000}"/>
    <cellStyle name="Comma 10 3" xfId="1454" xr:uid="{00000000-0005-0000-0000-0000B5020000}"/>
    <cellStyle name="Comma 10 3 2" xfId="1455" xr:uid="{00000000-0005-0000-0000-0000B6020000}"/>
    <cellStyle name="Comma 10 4" xfId="1456" xr:uid="{00000000-0005-0000-0000-0000B7020000}"/>
    <cellStyle name="Comma 10 4 2" xfId="1457" xr:uid="{00000000-0005-0000-0000-0000B8020000}"/>
    <cellStyle name="Comma 10 5" xfId="1458" xr:uid="{00000000-0005-0000-0000-0000B9020000}"/>
    <cellStyle name="Comma 11" xfId="1459" xr:uid="{00000000-0005-0000-0000-0000BA020000}"/>
    <cellStyle name="Comma 11 2" xfId="1460" xr:uid="{00000000-0005-0000-0000-0000BB020000}"/>
    <cellStyle name="Comma 11 2 2" xfId="1461" xr:uid="{00000000-0005-0000-0000-0000BC020000}"/>
    <cellStyle name="Comma 12" xfId="1462" xr:uid="{00000000-0005-0000-0000-0000BD020000}"/>
    <cellStyle name="Comma 12 2" xfId="1463" xr:uid="{00000000-0005-0000-0000-0000BE020000}"/>
    <cellStyle name="Comma 12 2 2" xfId="1464" xr:uid="{00000000-0005-0000-0000-0000BF020000}"/>
    <cellStyle name="Comma 12 3" xfId="1465" xr:uid="{00000000-0005-0000-0000-0000C0020000}"/>
    <cellStyle name="Comma 13" xfId="1466" xr:uid="{00000000-0005-0000-0000-0000C1020000}"/>
    <cellStyle name="Comma 13 2" xfId="1467" xr:uid="{00000000-0005-0000-0000-0000C2020000}"/>
    <cellStyle name="Comma 14" xfId="1468" xr:uid="{00000000-0005-0000-0000-0000C3020000}"/>
    <cellStyle name="Comma 14 2" xfId="1469" xr:uid="{00000000-0005-0000-0000-0000C4020000}"/>
    <cellStyle name="Comma 15" xfId="1470" xr:uid="{00000000-0005-0000-0000-0000C5020000}"/>
    <cellStyle name="Comma 15 2" xfId="1471" xr:uid="{00000000-0005-0000-0000-0000C6020000}"/>
    <cellStyle name="Comma 16" xfId="1472" xr:uid="{00000000-0005-0000-0000-0000C7020000}"/>
    <cellStyle name="Comma 16 2" xfId="1473" xr:uid="{00000000-0005-0000-0000-0000C8020000}"/>
    <cellStyle name="Comma 17" xfId="1474" xr:uid="{00000000-0005-0000-0000-0000C9020000}"/>
    <cellStyle name="Comma 17 2" xfId="1475" xr:uid="{00000000-0005-0000-0000-0000CA020000}"/>
    <cellStyle name="Comma 18" xfId="1476" xr:uid="{00000000-0005-0000-0000-0000CB020000}"/>
    <cellStyle name="Comma 18 2" xfId="1477" xr:uid="{00000000-0005-0000-0000-0000CC020000}"/>
    <cellStyle name="Comma 19" xfId="1478" xr:uid="{00000000-0005-0000-0000-0000CD020000}"/>
    <cellStyle name="Comma 19 2" xfId="1479" xr:uid="{00000000-0005-0000-0000-0000CE020000}"/>
    <cellStyle name="Comma 2" xfId="1480" xr:uid="{00000000-0005-0000-0000-0000CF020000}"/>
    <cellStyle name="Comma 2 10" xfId="1481" xr:uid="{00000000-0005-0000-0000-0000D0020000}"/>
    <cellStyle name="Comma 2 10 2" xfId="1482" xr:uid="{00000000-0005-0000-0000-0000D1020000}"/>
    <cellStyle name="Comma 2 11" xfId="1483" xr:uid="{00000000-0005-0000-0000-0000D2020000}"/>
    <cellStyle name="Comma 2 12" xfId="1484" xr:uid="{00000000-0005-0000-0000-0000D3020000}"/>
    <cellStyle name="Comma 2 13" xfId="1485" xr:uid="{00000000-0005-0000-0000-0000D4020000}"/>
    <cellStyle name="Comma 2 13 2" xfId="1486" xr:uid="{00000000-0005-0000-0000-0000D5020000}"/>
    <cellStyle name="Comma 2 14" xfId="1487" xr:uid="{00000000-0005-0000-0000-0000D6020000}"/>
    <cellStyle name="Comma 2 2" xfId="1488" xr:uid="{00000000-0005-0000-0000-0000D7020000}"/>
    <cellStyle name="Comma 2 2 2" xfId="1489" xr:uid="{00000000-0005-0000-0000-0000D8020000}"/>
    <cellStyle name="Comma 2 2 3" xfId="1490" xr:uid="{00000000-0005-0000-0000-0000D9020000}"/>
    <cellStyle name="Comma 2 2 3 2" xfId="1491" xr:uid="{00000000-0005-0000-0000-0000DA020000}"/>
    <cellStyle name="Comma 2 3" xfId="1492" xr:uid="{00000000-0005-0000-0000-0000DB020000}"/>
    <cellStyle name="Comma 2 3 2" xfId="1493" xr:uid="{00000000-0005-0000-0000-0000DC020000}"/>
    <cellStyle name="Comma 2 3 2 2" xfId="1494" xr:uid="{00000000-0005-0000-0000-0000DD020000}"/>
    <cellStyle name="Comma 2 3 3" xfId="1495" xr:uid="{00000000-0005-0000-0000-0000DE020000}"/>
    <cellStyle name="Comma 2 4" xfId="1496" xr:uid="{00000000-0005-0000-0000-0000DF020000}"/>
    <cellStyle name="Comma 2 4 2" xfId="1497" xr:uid="{00000000-0005-0000-0000-0000E0020000}"/>
    <cellStyle name="Comma 2 5" xfId="1498" xr:uid="{00000000-0005-0000-0000-0000E1020000}"/>
    <cellStyle name="Comma 2 6" xfId="1499" xr:uid="{00000000-0005-0000-0000-0000E2020000}"/>
    <cellStyle name="Comma 2 7" xfId="1500" xr:uid="{00000000-0005-0000-0000-0000E3020000}"/>
    <cellStyle name="Comma 2 8" xfId="1501" xr:uid="{00000000-0005-0000-0000-0000E4020000}"/>
    <cellStyle name="Comma 2 9" xfId="1502" xr:uid="{00000000-0005-0000-0000-0000E5020000}"/>
    <cellStyle name="Comma 2 9 2" xfId="1503" xr:uid="{00000000-0005-0000-0000-0000E6020000}"/>
    <cellStyle name="Comma 2 9 2 2" xfId="1504" xr:uid="{00000000-0005-0000-0000-0000E7020000}"/>
    <cellStyle name="Comma 2 9 3" xfId="1505" xr:uid="{00000000-0005-0000-0000-0000E8020000}"/>
    <cellStyle name="Comma 2_~9660252" xfId="1506" xr:uid="{00000000-0005-0000-0000-0000E9020000}"/>
    <cellStyle name="Comma 20" xfId="1507" xr:uid="{00000000-0005-0000-0000-0000EA020000}"/>
    <cellStyle name="Comma 20 2" xfId="1508" xr:uid="{00000000-0005-0000-0000-0000EB020000}"/>
    <cellStyle name="Comma 21" xfId="1509" xr:uid="{00000000-0005-0000-0000-0000EC020000}"/>
    <cellStyle name="Comma 21 2" xfId="1510" xr:uid="{00000000-0005-0000-0000-0000ED020000}"/>
    <cellStyle name="Comma 22" xfId="1511" xr:uid="{00000000-0005-0000-0000-0000EE020000}"/>
    <cellStyle name="Comma 22 2" xfId="1512" xr:uid="{00000000-0005-0000-0000-0000EF020000}"/>
    <cellStyle name="Comma 23" xfId="1513" xr:uid="{00000000-0005-0000-0000-0000F0020000}"/>
    <cellStyle name="Comma 24" xfId="1514" xr:uid="{00000000-0005-0000-0000-0000F1020000}"/>
    <cellStyle name="Comma 24 2" xfId="1515" xr:uid="{00000000-0005-0000-0000-0000F2020000}"/>
    <cellStyle name="Comma 25" xfId="1516" xr:uid="{00000000-0005-0000-0000-0000F3020000}"/>
    <cellStyle name="Comma 26" xfId="1517" xr:uid="{00000000-0005-0000-0000-0000F4020000}"/>
    <cellStyle name="Comma 27" xfId="1518" xr:uid="{00000000-0005-0000-0000-0000F5020000}"/>
    <cellStyle name="Comma 28" xfId="1519" xr:uid="{00000000-0005-0000-0000-0000F6020000}"/>
    <cellStyle name="Comma 28 2" xfId="1520" xr:uid="{00000000-0005-0000-0000-0000F7020000}"/>
    <cellStyle name="Comma 29" xfId="1521" xr:uid="{00000000-0005-0000-0000-0000F8020000}"/>
    <cellStyle name="Comma 29 2" xfId="1522" xr:uid="{00000000-0005-0000-0000-0000F9020000}"/>
    <cellStyle name="Comma 3" xfId="1523" xr:uid="{00000000-0005-0000-0000-0000FA020000}"/>
    <cellStyle name="Comma 3 2" xfId="1524" xr:uid="{00000000-0005-0000-0000-0000FB020000}"/>
    <cellStyle name="Comma 3 3" xfId="1525" xr:uid="{00000000-0005-0000-0000-0000FC020000}"/>
    <cellStyle name="Comma 3 4" xfId="1526" xr:uid="{00000000-0005-0000-0000-0000FD020000}"/>
    <cellStyle name="Comma 3 5" xfId="1527" xr:uid="{00000000-0005-0000-0000-0000FE020000}"/>
    <cellStyle name="Comma 3 6" xfId="1528" xr:uid="{00000000-0005-0000-0000-0000FF020000}"/>
    <cellStyle name="Comma 3 7" xfId="1529" xr:uid="{00000000-0005-0000-0000-000000030000}"/>
    <cellStyle name="Comma 3 8" xfId="1530" xr:uid="{00000000-0005-0000-0000-000001030000}"/>
    <cellStyle name="Comma 3 9" xfId="1531" xr:uid="{00000000-0005-0000-0000-000002030000}"/>
    <cellStyle name="Comma 3 9 2" xfId="1532" xr:uid="{00000000-0005-0000-0000-000003030000}"/>
    <cellStyle name="Comma 3*" xfId="1534" xr:uid="{00000000-0005-0000-0000-000004030000}"/>
    <cellStyle name="Comma 3_FSL_WTC Tbilisi LLC_GRDC_2007" xfId="1533" xr:uid="{00000000-0005-0000-0000-000005030000}"/>
    <cellStyle name="Comma 30" xfId="1535" xr:uid="{00000000-0005-0000-0000-000006030000}"/>
    <cellStyle name="Comma 30 2" xfId="1536" xr:uid="{00000000-0005-0000-0000-000007030000}"/>
    <cellStyle name="Comma 31" xfId="1537" xr:uid="{00000000-0005-0000-0000-000008030000}"/>
    <cellStyle name="Comma 31 2" xfId="1538" xr:uid="{00000000-0005-0000-0000-000009030000}"/>
    <cellStyle name="Comma 32" xfId="1539" xr:uid="{00000000-0005-0000-0000-00000A030000}"/>
    <cellStyle name="Comma 32 2" xfId="1540" xr:uid="{00000000-0005-0000-0000-00000B030000}"/>
    <cellStyle name="Comma 33" xfId="1541" xr:uid="{00000000-0005-0000-0000-00000C030000}"/>
    <cellStyle name="Comma 33 2" xfId="1542" xr:uid="{00000000-0005-0000-0000-00000D030000}"/>
    <cellStyle name="Comma 34" xfId="1543" xr:uid="{00000000-0005-0000-0000-00000E030000}"/>
    <cellStyle name="Comma 34 2" xfId="1544" xr:uid="{00000000-0005-0000-0000-00000F030000}"/>
    <cellStyle name="Comma 35" xfId="1545" xr:uid="{00000000-0005-0000-0000-000010030000}"/>
    <cellStyle name="Comma 35 2" xfId="1546" xr:uid="{00000000-0005-0000-0000-000011030000}"/>
    <cellStyle name="Comma 36" xfId="1547" xr:uid="{00000000-0005-0000-0000-000012030000}"/>
    <cellStyle name="Comma 36 2" xfId="1548" xr:uid="{00000000-0005-0000-0000-000013030000}"/>
    <cellStyle name="Comma 37" xfId="1549" xr:uid="{00000000-0005-0000-0000-000014030000}"/>
    <cellStyle name="Comma 37 2" xfId="1550" xr:uid="{00000000-0005-0000-0000-000015030000}"/>
    <cellStyle name="Comma 38" xfId="1551" xr:uid="{00000000-0005-0000-0000-000016030000}"/>
    <cellStyle name="Comma 38 2" xfId="1552" xr:uid="{00000000-0005-0000-0000-000017030000}"/>
    <cellStyle name="Comma 39" xfId="1553" xr:uid="{00000000-0005-0000-0000-000018030000}"/>
    <cellStyle name="Comma 39 2" xfId="1554" xr:uid="{00000000-0005-0000-0000-000019030000}"/>
    <cellStyle name="Comma 4" xfId="1555" xr:uid="{00000000-0005-0000-0000-00001A030000}"/>
    <cellStyle name="Comma 4 2" xfId="1556" xr:uid="{00000000-0005-0000-0000-00001B030000}"/>
    <cellStyle name="Comma 4 2 2" xfId="1557" xr:uid="{00000000-0005-0000-0000-00001C030000}"/>
    <cellStyle name="Comma 4 3" xfId="1558" xr:uid="{00000000-0005-0000-0000-00001D030000}"/>
    <cellStyle name="Comma 4 3 2" xfId="1559" xr:uid="{00000000-0005-0000-0000-00001E030000}"/>
    <cellStyle name="Comma 4 4" xfId="1560" xr:uid="{00000000-0005-0000-0000-00001F030000}"/>
    <cellStyle name="Comma 4_FSL_SB Register_YE_07" xfId="1561" xr:uid="{00000000-0005-0000-0000-000020030000}"/>
    <cellStyle name="Comma 40" xfId="1562" xr:uid="{00000000-0005-0000-0000-000021030000}"/>
    <cellStyle name="Comma 40 2" xfId="1563" xr:uid="{00000000-0005-0000-0000-000022030000}"/>
    <cellStyle name="Comma 41" xfId="1564" xr:uid="{00000000-0005-0000-0000-000023030000}"/>
    <cellStyle name="Comma 41 2" xfId="1565" xr:uid="{00000000-0005-0000-0000-000024030000}"/>
    <cellStyle name="Comma 42" xfId="1566" xr:uid="{00000000-0005-0000-0000-000025030000}"/>
    <cellStyle name="Comma 42 2" xfId="1567" xr:uid="{00000000-0005-0000-0000-000026030000}"/>
    <cellStyle name="Comma 43" xfId="1568" xr:uid="{00000000-0005-0000-0000-000027030000}"/>
    <cellStyle name="Comma 43 2" xfId="1569" xr:uid="{00000000-0005-0000-0000-000028030000}"/>
    <cellStyle name="Comma 44" xfId="1570" xr:uid="{00000000-0005-0000-0000-000029030000}"/>
    <cellStyle name="Comma 44 2" xfId="1571" xr:uid="{00000000-0005-0000-0000-00002A030000}"/>
    <cellStyle name="Comma 45" xfId="1572" xr:uid="{00000000-0005-0000-0000-00002B030000}"/>
    <cellStyle name="Comma 45 2" xfId="1573" xr:uid="{00000000-0005-0000-0000-00002C030000}"/>
    <cellStyle name="Comma 46" xfId="1574" xr:uid="{00000000-0005-0000-0000-00002D030000}"/>
    <cellStyle name="Comma 46 2" xfId="1575" xr:uid="{00000000-0005-0000-0000-00002E030000}"/>
    <cellStyle name="Comma 47" xfId="1576" xr:uid="{00000000-0005-0000-0000-00002F030000}"/>
    <cellStyle name="Comma 47 2" xfId="1577" xr:uid="{00000000-0005-0000-0000-000030030000}"/>
    <cellStyle name="Comma 48" xfId="1578" xr:uid="{00000000-0005-0000-0000-000031030000}"/>
    <cellStyle name="Comma 48 2" xfId="1579" xr:uid="{00000000-0005-0000-0000-000032030000}"/>
    <cellStyle name="Comma 49" xfId="1580" xr:uid="{00000000-0005-0000-0000-000033030000}"/>
    <cellStyle name="Comma 49 2" xfId="1581" xr:uid="{00000000-0005-0000-0000-000034030000}"/>
    <cellStyle name="Comma 5" xfId="1582" xr:uid="{00000000-0005-0000-0000-000035030000}"/>
    <cellStyle name="Comma 5 2" xfId="1583" xr:uid="{00000000-0005-0000-0000-000036030000}"/>
    <cellStyle name="Comma 5 2 2" xfId="1584" xr:uid="{00000000-0005-0000-0000-000037030000}"/>
    <cellStyle name="Comma 5 3" xfId="1585" xr:uid="{00000000-0005-0000-0000-000038030000}"/>
    <cellStyle name="Comma 5_H-Lead" xfId="1586" xr:uid="{00000000-0005-0000-0000-000039030000}"/>
    <cellStyle name="Comma 50" xfId="1587" xr:uid="{00000000-0005-0000-0000-00003A030000}"/>
    <cellStyle name="Comma 50 2" xfId="1588" xr:uid="{00000000-0005-0000-0000-00003B030000}"/>
    <cellStyle name="Comma 51" xfId="1589" xr:uid="{00000000-0005-0000-0000-00003C030000}"/>
    <cellStyle name="Comma 51 2" xfId="1590" xr:uid="{00000000-0005-0000-0000-00003D030000}"/>
    <cellStyle name="Comma 52" xfId="1591" xr:uid="{00000000-0005-0000-0000-00003E030000}"/>
    <cellStyle name="Comma 52 2" xfId="1592" xr:uid="{00000000-0005-0000-0000-00003F030000}"/>
    <cellStyle name="Comma 53" xfId="1593" xr:uid="{00000000-0005-0000-0000-000040030000}"/>
    <cellStyle name="Comma 53 2" xfId="1594" xr:uid="{00000000-0005-0000-0000-000041030000}"/>
    <cellStyle name="Comma 54" xfId="1595" xr:uid="{00000000-0005-0000-0000-000042030000}"/>
    <cellStyle name="Comma 54 2" xfId="1596" xr:uid="{00000000-0005-0000-0000-000043030000}"/>
    <cellStyle name="Comma 55" xfId="1597" xr:uid="{00000000-0005-0000-0000-000044030000}"/>
    <cellStyle name="Comma 55 2" xfId="1598" xr:uid="{00000000-0005-0000-0000-000045030000}"/>
    <cellStyle name="Comma 56" xfId="1599" xr:uid="{00000000-0005-0000-0000-000046030000}"/>
    <cellStyle name="Comma 56 2" xfId="1600" xr:uid="{00000000-0005-0000-0000-000047030000}"/>
    <cellStyle name="Comma 57" xfId="1601" xr:uid="{00000000-0005-0000-0000-000048030000}"/>
    <cellStyle name="Comma 57 2" xfId="1602" xr:uid="{00000000-0005-0000-0000-000049030000}"/>
    <cellStyle name="Comma 58" xfId="1603" xr:uid="{00000000-0005-0000-0000-00004A030000}"/>
    <cellStyle name="Comma 58 2" xfId="1604" xr:uid="{00000000-0005-0000-0000-00004B030000}"/>
    <cellStyle name="Comma 59" xfId="1605" xr:uid="{00000000-0005-0000-0000-00004C030000}"/>
    <cellStyle name="Comma 59 2" xfId="1606" xr:uid="{00000000-0005-0000-0000-00004D030000}"/>
    <cellStyle name="Comma 6" xfId="1607" xr:uid="{00000000-0005-0000-0000-00004E030000}"/>
    <cellStyle name="Comma 6 2" xfId="1608" xr:uid="{00000000-0005-0000-0000-00004F030000}"/>
    <cellStyle name="Comma 6 2 2" xfId="1609" xr:uid="{00000000-0005-0000-0000-000050030000}"/>
    <cellStyle name="Comma 6 2 2 2" xfId="1610" xr:uid="{00000000-0005-0000-0000-000051030000}"/>
    <cellStyle name="Comma 6 2 3" xfId="1611" xr:uid="{00000000-0005-0000-0000-000052030000}"/>
    <cellStyle name="Comma 6 3" xfId="1612" xr:uid="{00000000-0005-0000-0000-000053030000}"/>
    <cellStyle name="Comma 6 4" xfId="1613" xr:uid="{00000000-0005-0000-0000-000054030000}"/>
    <cellStyle name="Comma 6_E-10" xfId="1614" xr:uid="{00000000-0005-0000-0000-000055030000}"/>
    <cellStyle name="Comma 60" xfId="1615" xr:uid="{00000000-0005-0000-0000-000056030000}"/>
    <cellStyle name="Comma 60 2" xfId="1616" xr:uid="{00000000-0005-0000-0000-000057030000}"/>
    <cellStyle name="Comma 61" xfId="1617" xr:uid="{00000000-0005-0000-0000-000058030000}"/>
    <cellStyle name="Comma 61 2" xfId="1618" xr:uid="{00000000-0005-0000-0000-000059030000}"/>
    <cellStyle name="Comma 62" xfId="1619" xr:uid="{00000000-0005-0000-0000-00005A030000}"/>
    <cellStyle name="Comma 62 2" xfId="1620" xr:uid="{00000000-0005-0000-0000-00005B030000}"/>
    <cellStyle name="Comma 63" xfId="1621" xr:uid="{00000000-0005-0000-0000-00005C030000}"/>
    <cellStyle name="Comma 63 2" xfId="1622" xr:uid="{00000000-0005-0000-0000-00005D030000}"/>
    <cellStyle name="Comma 64" xfId="1623" xr:uid="{00000000-0005-0000-0000-00005E030000}"/>
    <cellStyle name="Comma 64 2" xfId="1624" xr:uid="{00000000-0005-0000-0000-00005F030000}"/>
    <cellStyle name="Comma 65" xfId="1625" xr:uid="{00000000-0005-0000-0000-000060030000}"/>
    <cellStyle name="Comma 65 2" xfId="1626" xr:uid="{00000000-0005-0000-0000-000061030000}"/>
    <cellStyle name="Comma 66" xfId="1627" xr:uid="{00000000-0005-0000-0000-000062030000}"/>
    <cellStyle name="Comma 66 2" xfId="1628" xr:uid="{00000000-0005-0000-0000-000063030000}"/>
    <cellStyle name="Comma 67" xfId="1629" xr:uid="{00000000-0005-0000-0000-000064030000}"/>
    <cellStyle name="Comma 67 2" xfId="1630" xr:uid="{00000000-0005-0000-0000-000065030000}"/>
    <cellStyle name="Comma 68" xfId="1631" xr:uid="{00000000-0005-0000-0000-000066030000}"/>
    <cellStyle name="Comma 68 2" xfId="1632" xr:uid="{00000000-0005-0000-0000-000067030000}"/>
    <cellStyle name="Comma 69" xfId="1633" xr:uid="{00000000-0005-0000-0000-000068030000}"/>
    <cellStyle name="Comma 7" xfId="1634" xr:uid="{00000000-0005-0000-0000-000069030000}"/>
    <cellStyle name="Comma 7 2" xfId="1635" xr:uid="{00000000-0005-0000-0000-00006A030000}"/>
    <cellStyle name="Comma 7 2 2" xfId="1636" xr:uid="{00000000-0005-0000-0000-00006B030000}"/>
    <cellStyle name="Comma 70" xfId="1637" xr:uid="{00000000-0005-0000-0000-00006C030000}"/>
    <cellStyle name="Comma 71" xfId="1638" xr:uid="{00000000-0005-0000-0000-00006D030000}"/>
    <cellStyle name="Comma 72" xfId="1639" xr:uid="{00000000-0005-0000-0000-00006E030000}"/>
    <cellStyle name="Comma 73" xfId="1640" xr:uid="{00000000-0005-0000-0000-00006F030000}"/>
    <cellStyle name="Comma 74" xfId="1641" xr:uid="{00000000-0005-0000-0000-000070030000}"/>
    <cellStyle name="Comma 74 2" xfId="1642" xr:uid="{00000000-0005-0000-0000-000071030000}"/>
    <cellStyle name="Comma 75" xfId="1643" xr:uid="{00000000-0005-0000-0000-000072030000}"/>
    <cellStyle name="Comma 8" xfId="1644" xr:uid="{00000000-0005-0000-0000-000073030000}"/>
    <cellStyle name="Comma 8 2" xfId="1645" xr:uid="{00000000-0005-0000-0000-000074030000}"/>
    <cellStyle name="Comma 8 2 2" xfId="1646" xr:uid="{00000000-0005-0000-0000-000075030000}"/>
    <cellStyle name="Comma 9" xfId="1647" xr:uid="{00000000-0005-0000-0000-000076030000}"/>
    <cellStyle name="Comma 9 2" xfId="1648" xr:uid="{00000000-0005-0000-0000-000077030000}"/>
    <cellStyle name="Comma0" xfId="1649" xr:uid="{00000000-0005-0000-0000-000078030000}"/>
    <cellStyle name="Comma0 - Style3" xfId="1650" xr:uid="{00000000-0005-0000-0000-000079030000}"/>
    <cellStyle name="Comma0 2" xfId="1651" xr:uid="{00000000-0005-0000-0000-00007A030000}"/>
    <cellStyle name="Comma0 3" xfId="1652" xr:uid="{00000000-0005-0000-0000-00007B030000}"/>
    <cellStyle name="Comma0 4" xfId="1653" xr:uid="{00000000-0005-0000-0000-00007C030000}"/>
    <cellStyle name="Comma0 5" xfId="1654" xr:uid="{00000000-0005-0000-0000-00007D030000}"/>
    <cellStyle name="Comma0 6" xfId="1655" xr:uid="{00000000-0005-0000-0000-00007E030000}"/>
    <cellStyle name="Comma0 7" xfId="1656" xr:uid="{00000000-0005-0000-0000-00007F030000}"/>
    <cellStyle name="Comma0 8" xfId="1657" xr:uid="{00000000-0005-0000-0000-000080030000}"/>
    <cellStyle name="Comma0 9" xfId="1658" xr:uid="{00000000-0005-0000-0000-000081030000}"/>
    <cellStyle name="Comma1 - Style1" xfId="1659" xr:uid="{00000000-0005-0000-0000-000082030000}"/>
    <cellStyle name="Company Name" xfId="1660" xr:uid="{00000000-0005-0000-0000-000083030000}"/>
    <cellStyle name="copy_macro" xfId="1661" xr:uid="{00000000-0005-0000-0000-000084030000}"/>
    <cellStyle name="Credit" xfId="1662" xr:uid="{00000000-0005-0000-0000-000085030000}"/>
    <cellStyle name="Credit subtotal" xfId="1663" xr:uid="{00000000-0005-0000-0000-000086030000}"/>
    <cellStyle name="Credit subtotal 2" xfId="1664" xr:uid="{00000000-0005-0000-0000-000087030000}"/>
    <cellStyle name="Credit Total" xfId="1665" xr:uid="{00000000-0005-0000-0000-000088030000}"/>
    <cellStyle name="Credit_ЛюбаАгафонова" xfId="1666" xr:uid="{00000000-0005-0000-0000-000089030000}"/>
    <cellStyle name="Currency [00]" xfId="1667" xr:uid="{00000000-0005-0000-0000-00008A030000}"/>
    <cellStyle name="Currency [2]" xfId="1668" xr:uid="{00000000-0005-0000-0000-00008B030000}"/>
    <cellStyle name="Currency 0" xfId="1669" xr:uid="{00000000-0005-0000-0000-00008C030000}"/>
    <cellStyle name="Currency 0.0" xfId="1670" xr:uid="{00000000-0005-0000-0000-00008D030000}"/>
    <cellStyle name="Currency 0.0 2" xfId="1671" xr:uid="{00000000-0005-0000-0000-00008E030000}"/>
    <cellStyle name="Currency 0.0 3" xfId="1672" xr:uid="{00000000-0005-0000-0000-00008F030000}"/>
    <cellStyle name="Currency 0.00" xfId="1673" xr:uid="{00000000-0005-0000-0000-000090030000}"/>
    <cellStyle name="Currency 0.00 2" xfId="1674" xr:uid="{00000000-0005-0000-0000-000091030000}"/>
    <cellStyle name="Currency 0.00 3" xfId="1675" xr:uid="{00000000-0005-0000-0000-000092030000}"/>
    <cellStyle name="Currency 0.000" xfId="1676" xr:uid="{00000000-0005-0000-0000-000093030000}"/>
    <cellStyle name="Currency 0.000 2" xfId="1677" xr:uid="{00000000-0005-0000-0000-000094030000}"/>
    <cellStyle name="Currency 0.000 3" xfId="1678" xr:uid="{00000000-0005-0000-0000-000095030000}"/>
    <cellStyle name="Currency 10" xfId="1679" xr:uid="{00000000-0005-0000-0000-000096030000}"/>
    <cellStyle name="Currency 11" xfId="1680" xr:uid="{00000000-0005-0000-0000-000097030000}"/>
    <cellStyle name="Currency 12" xfId="1681" xr:uid="{00000000-0005-0000-0000-000098030000}"/>
    <cellStyle name="Currency 13" xfId="1682" xr:uid="{00000000-0005-0000-0000-000099030000}"/>
    <cellStyle name="Currency 14" xfId="1683" xr:uid="{00000000-0005-0000-0000-00009A030000}"/>
    <cellStyle name="Currency 15" xfId="1684" xr:uid="{00000000-0005-0000-0000-00009B030000}"/>
    <cellStyle name="Currency 16" xfId="1685" xr:uid="{00000000-0005-0000-0000-00009C030000}"/>
    <cellStyle name="Currency 17" xfId="1686" xr:uid="{00000000-0005-0000-0000-00009D030000}"/>
    <cellStyle name="Currency 18" xfId="1687" xr:uid="{00000000-0005-0000-0000-00009E030000}"/>
    <cellStyle name="Currency 19" xfId="1688" xr:uid="{00000000-0005-0000-0000-00009F030000}"/>
    <cellStyle name="Currency 2" xfId="1689" xr:uid="{00000000-0005-0000-0000-0000A0030000}"/>
    <cellStyle name="Currency 20" xfId="1690" xr:uid="{00000000-0005-0000-0000-0000A1030000}"/>
    <cellStyle name="Currency 21" xfId="1691" xr:uid="{00000000-0005-0000-0000-0000A2030000}"/>
    <cellStyle name="Currency 22" xfId="1692" xr:uid="{00000000-0005-0000-0000-0000A3030000}"/>
    <cellStyle name="Currency 23" xfId="1693" xr:uid="{00000000-0005-0000-0000-0000A4030000}"/>
    <cellStyle name="Currency 24" xfId="1694" xr:uid="{00000000-0005-0000-0000-0000A5030000}"/>
    <cellStyle name="Currency 25" xfId="1695" xr:uid="{00000000-0005-0000-0000-0000A6030000}"/>
    <cellStyle name="Currency 26" xfId="1696" xr:uid="{00000000-0005-0000-0000-0000A7030000}"/>
    <cellStyle name="Currency 27" xfId="1697" xr:uid="{00000000-0005-0000-0000-0000A8030000}"/>
    <cellStyle name="Currency 28" xfId="1698" xr:uid="{00000000-0005-0000-0000-0000A9030000}"/>
    <cellStyle name="Currency 29" xfId="1699" xr:uid="{00000000-0005-0000-0000-0000AA030000}"/>
    <cellStyle name="Currency 3" xfId="1700" xr:uid="{00000000-0005-0000-0000-0000AB030000}"/>
    <cellStyle name="Currency 30" xfId="1701" xr:uid="{00000000-0005-0000-0000-0000AC030000}"/>
    <cellStyle name="Currency 31" xfId="1702" xr:uid="{00000000-0005-0000-0000-0000AD030000}"/>
    <cellStyle name="Currency 32" xfId="1703" xr:uid="{00000000-0005-0000-0000-0000AE030000}"/>
    <cellStyle name="Currency 33" xfId="1704" xr:uid="{00000000-0005-0000-0000-0000AF030000}"/>
    <cellStyle name="Currency 34" xfId="1705" xr:uid="{00000000-0005-0000-0000-0000B0030000}"/>
    <cellStyle name="Currency 35" xfId="1706" xr:uid="{00000000-0005-0000-0000-0000B1030000}"/>
    <cellStyle name="Currency 36" xfId="1707" xr:uid="{00000000-0005-0000-0000-0000B2030000}"/>
    <cellStyle name="Currency 4" xfId="1708" xr:uid="{00000000-0005-0000-0000-0000B3030000}"/>
    <cellStyle name="Currency 5" xfId="1709" xr:uid="{00000000-0005-0000-0000-0000B4030000}"/>
    <cellStyle name="Currency 6" xfId="1710" xr:uid="{00000000-0005-0000-0000-0000B5030000}"/>
    <cellStyle name="Currency 7" xfId="1711" xr:uid="{00000000-0005-0000-0000-0000B6030000}"/>
    <cellStyle name="Currency 8" xfId="1712" xr:uid="{00000000-0005-0000-0000-0000B7030000}"/>
    <cellStyle name="Currency 9" xfId="1713" xr:uid="{00000000-0005-0000-0000-0000B8030000}"/>
    <cellStyle name="Currency EN" xfId="1714" xr:uid="{00000000-0005-0000-0000-0000B9030000}"/>
    <cellStyle name="Currency EN 2" xfId="1715" xr:uid="{00000000-0005-0000-0000-0000BA030000}"/>
    <cellStyle name="Currency RU" xfId="1716" xr:uid="{00000000-0005-0000-0000-0000BB030000}"/>
    <cellStyle name="Currency RU 2" xfId="1717" xr:uid="{00000000-0005-0000-0000-0000BC030000}"/>
    <cellStyle name="Currency RU calc" xfId="1718" xr:uid="{00000000-0005-0000-0000-0000BD030000}"/>
    <cellStyle name="Currency RU calc 2" xfId="1719" xr:uid="{00000000-0005-0000-0000-0000BE030000}"/>
    <cellStyle name="Currency RU_CP-P (2)" xfId="1720" xr:uid="{00000000-0005-0000-0000-0000BF030000}"/>
    <cellStyle name="Currency0" xfId="1721" xr:uid="{00000000-0005-0000-0000-0000C0030000}"/>
    <cellStyle name="Currency2" xfId="1722" xr:uid="{00000000-0005-0000-0000-0000C1030000}"/>
    <cellStyle name="DataBases" xfId="1723" xr:uid="{00000000-0005-0000-0000-0000C2030000}"/>
    <cellStyle name="DataToHide" xfId="1724" xr:uid="{00000000-0005-0000-0000-0000C3030000}"/>
    <cellStyle name="Date" xfId="1725" xr:uid="{00000000-0005-0000-0000-0000C4030000}"/>
    <cellStyle name="Date 2" xfId="1726" xr:uid="{00000000-0005-0000-0000-0000C5030000}"/>
    <cellStyle name="Date Aligned" xfId="1727" xr:uid="{00000000-0005-0000-0000-0000C6030000}"/>
    <cellStyle name="Date EN" xfId="1728" xr:uid="{00000000-0005-0000-0000-0000C7030000}"/>
    <cellStyle name="Date RU" xfId="1729" xr:uid="{00000000-0005-0000-0000-0000C8030000}"/>
    <cellStyle name="Date Short" xfId="1730" xr:uid="{00000000-0005-0000-0000-0000C9030000}"/>
    <cellStyle name="Date_MGOK brkdns 311206" xfId="1731" xr:uid="{00000000-0005-0000-0000-0000CA030000}"/>
    <cellStyle name="Dateline" xfId="1732" xr:uid="{00000000-0005-0000-0000-0000CB030000}"/>
    <cellStyle name="Datum" xfId="1733" xr:uid="{00000000-0005-0000-0000-0000CC030000}"/>
    <cellStyle name="DblLineDollarAcct" xfId="1734" xr:uid="{00000000-0005-0000-0000-0000CD030000}"/>
    <cellStyle name="DblLinePercent" xfId="1735" xr:uid="{00000000-0005-0000-0000-0000CE030000}"/>
    <cellStyle name="Debit" xfId="1736" xr:uid="{00000000-0005-0000-0000-0000CF030000}"/>
    <cellStyle name="Debit subtotal" xfId="1737" xr:uid="{00000000-0005-0000-0000-0000D0030000}"/>
    <cellStyle name="Debit subtotal 2" xfId="1738" xr:uid="{00000000-0005-0000-0000-0000D1030000}"/>
    <cellStyle name="Debit Total" xfId="1739" xr:uid="{00000000-0005-0000-0000-0000D2030000}"/>
    <cellStyle name="Debit_ЛюбаАгафонова" xfId="1740" xr:uid="{00000000-0005-0000-0000-0000D3030000}"/>
    <cellStyle name="DELTA" xfId="1741" xr:uid="{00000000-0005-0000-0000-0000D4030000}"/>
    <cellStyle name="DELTA 2" xfId="1742" xr:uid="{00000000-0005-0000-0000-0000D5030000}"/>
    <cellStyle name="DELTA 3" xfId="1743" xr:uid="{00000000-0005-0000-0000-0000D6030000}"/>
    <cellStyle name="DELTA 4" xfId="1744" xr:uid="{00000000-0005-0000-0000-0000D7030000}"/>
    <cellStyle name="DELTA 5" xfId="1745" xr:uid="{00000000-0005-0000-0000-0000D8030000}"/>
    <cellStyle name="DELTA_~9660252" xfId="1746" xr:uid="{00000000-0005-0000-0000-0000D9030000}"/>
    <cellStyle name="Deviant" xfId="1747" xr:uid="{00000000-0005-0000-0000-0000DA030000}"/>
    <cellStyle name="Dezimal [0]_AX-5-Loan-Portfolio-Efficiency-310899" xfId="1748" xr:uid="{00000000-0005-0000-0000-0000DB030000}"/>
    <cellStyle name="Dezimal_AX-5-Loan-Portfolio-Efficiency-310899" xfId="1749" xr:uid="{00000000-0005-0000-0000-0000DC030000}"/>
    <cellStyle name="DollarAccounting" xfId="1750" xr:uid="{00000000-0005-0000-0000-0000DD030000}"/>
    <cellStyle name="done" xfId="1751" xr:uid="{00000000-0005-0000-0000-0000DE030000}"/>
    <cellStyle name="Dotted Line" xfId="1752" xr:uid="{00000000-0005-0000-0000-0000DF030000}"/>
    <cellStyle name="DumDat" xfId="1753" xr:uid="{00000000-0005-0000-0000-0000E0030000}"/>
    <cellStyle name="DummyDat" xfId="1754" xr:uid="{00000000-0005-0000-0000-0000E1030000}"/>
    <cellStyle name="Dziesiêtny [0]_1" xfId="1755" xr:uid="{00000000-0005-0000-0000-0000E2030000}"/>
    <cellStyle name="Dziesiętny [0]_Annexes WWBU 02-03 ER" xfId="1756" xr:uid="{00000000-0005-0000-0000-0000E3030000}"/>
    <cellStyle name="Dziesiêtny_1" xfId="1757" xr:uid="{00000000-0005-0000-0000-0000E4030000}"/>
    <cellStyle name="Dziesiętny_Annexes WWBU 02-03 ER" xfId="1758" xr:uid="{00000000-0005-0000-0000-0000E5030000}"/>
    <cellStyle name="E&amp;Y House" xfId="1759" xr:uid="{00000000-0005-0000-0000-0000E6030000}"/>
    <cellStyle name="ein" xfId="1760" xr:uid="{00000000-0005-0000-0000-0000E7030000}"/>
    <cellStyle name="ein 2" xfId="1761" xr:uid="{00000000-0005-0000-0000-0000E8030000}"/>
    <cellStyle name="Emphasis 1" xfId="1762" xr:uid="{00000000-0005-0000-0000-0000E9030000}"/>
    <cellStyle name="Emphasis 2" xfId="1763" xr:uid="{00000000-0005-0000-0000-0000EA030000}"/>
    <cellStyle name="Emphasis 3" xfId="1764" xr:uid="{00000000-0005-0000-0000-0000EB030000}"/>
    <cellStyle name="Enter Currency (0)" xfId="1765" xr:uid="{00000000-0005-0000-0000-0000EC030000}"/>
    <cellStyle name="Enter Currency (2)" xfId="1766" xr:uid="{00000000-0005-0000-0000-0000ED030000}"/>
    <cellStyle name="Enter Units (0)" xfId="1767" xr:uid="{00000000-0005-0000-0000-0000EE030000}"/>
    <cellStyle name="Enter Units (1)" xfId="1768" xr:uid="{00000000-0005-0000-0000-0000EF030000}"/>
    <cellStyle name="Enter Units (2)" xfId="1769" xr:uid="{00000000-0005-0000-0000-0000F0030000}"/>
    <cellStyle name="Entities" xfId="1770" xr:uid="{00000000-0005-0000-0000-0000F1030000}"/>
    <cellStyle name="Euro" xfId="1771" xr:uid="{00000000-0005-0000-0000-0000F2030000}"/>
    <cellStyle name="Euro 2" xfId="1772" xr:uid="{00000000-0005-0000-0000-0000F3030000}"/>
    <cellStyle name="Euro 2 2" xfId="1773" xr:uid="{00000000-0005-0000-0000-0000F4030000}"/>
    <cellStyle name="Euro 2 3" xfId="1774" xr:uid="{00000000-0005-0000-0000-0000F5030000}"/>
    <cellStyle name="Euro 3" xfId="1775" xr:uid="{00000000-0005-0000-0000-0000F6030000}"/>
    <cellStyle name="Euro 3 2" xfId="1776" xr:uid="{00000000-0005-0000-0000-0000F7030000}"/>
    <cellStyle name="Euro 3 3" xfId="1777" xr:uid="{00000000-0005-0000-0000-0000F8030000}"/>
    <cellStyle name="Euro 4" xfId="1778" xr:uid="{00000000-0005-0000-0000-0000F9030000}"/>
    <cellStyle name="Euro 5" xfId="1779" xr:uid="{00000000-0005-0000-0000-0000FA030000}"/>
    <cellStyle name="Euro 6" xfId="1780" xr:uid="{00000000-0005-0000-0000-0000FB030000}"/>
    <cellStyle name="Euro 7" xfId="1781" xr:uid="{00000000-0005-0000-0000-0000FC030000}"/>
    <cellStyle name="Euro_FSL_WTC Tbilisi LLC_GRDC_2007" xfId="1782" xr:uid="{00000000-0005-0000-0000-0000FD030000}"/>
    <cellStyle name="ew" xfId="1783" xr:uid="{00000000-0005-0000-0000-0000FE030000}"/>
    <cellStyle name="Explanatory Text" xfId="1784" xr:uid="{00000000-0005-0000-0000-0000FF030000}"/>
    <cellStyle name="Explanatory Text 2" xfId="1785" xr:uid="{00000000-0005-0000-0000-000000040000}"/>
    <cellStyle name="Explanatory Text_Полная модель Абхазия 31032011_bv" xfId="1786" xr:uid="{00000000-0005-0000-0000-000001040000}"/>
    <cellStyle name="EY Narrative heading" xfId="1787" xr:uid="{00000000-0005-0000-0000-000002040000}"/>
    <cellStyle name="EY Narrative text" xfId="1788" xr:uid="{00000000-0005-0000-0000-000003040000}"/>
    <cellStyle name="EY source" xfId="1789" xr:uid="{00000000-0005-0000-0000-000004040000}"/>
    <cellStyle name="EY text" xfId="1790" xr:uid="{00000000-0005-0000-0000-000005040000}"/>
    <cellStyle name="EY%colcalc" xfId="1791" xr:uid="{00000000-0005-0000-0000-000006040000}"/>
    <cellStyle name="EY%input" xfId="1792" xr:uid="{00000000-0005-0000-0000-000007040000}"/>
    <cellStyle name="EY%rowcalc" xfId="1793" xr:uid="{00000000-0005-0000-0000-000008040000}"/>
    <cellStyle name="EY0dp" xfId="1795" xr:uid="{00000000-0005-0000-0000-000009040000}"/>
    <cellStyle name="EY0dp 2" xfId="1796" xr:uid="{00000000-0005-0000-0000-00000A040000}"/>
    <cellStyle name="EY0dз" xfId="1794" xr:uid="{00000000-0005-0000-0000-00000B040000}"/>
    <cellStyle name="EY1dp" xfId="1797" xr:uid="{00000000-0005-0000-0000-00000C040000}"/>
    <cellStyle name="EY2dp" xfId="1798" xr:uid="{00000000-0005-0000-0000-00000D040000}"/>
    <cellStyle name="EY3dp" xfId="1799" xr:uid="{00000000-0005-0000-0000-00000E040000}"/>
    <cellStyle name="EYBlocked" xfId="1800" xr:uid="{00000000-0005-0000-0000-00000F040000}"/>
    <cellStyle name="EYCallUp" xfId="1801" xr:uid="{00000000-0005-0000-0000-000010040000}"/>
    <cellStyle name="EYChartTitle" xfId="1802" xr:uid="{00000000-0005-0000-0000-000011040000}"/>
    <cellStyle name="EYCheck" xfId="1803" xr:uid="{00000000-0005-0000-0000-000012040000}"/>
    <cellStyle name="EYColumnHeading" xfId="1804" xr:uid="{00000000-0005-0000-0000-000013040000}"/>
    <cellStyle name="EYColumnHeading 2" xfId="1805" xr:uid="{00000000-0005-0000-0000-000014040000}"/>
    <cellStyle name="EYColumnHeading 2 2" xfId="1806" xr:uid="{00000000-0005-0000-0000-000015040000}"/>
    <cellStyle name="EYColumnHeading 3" xfId="1807" xr:uid="{00000000-0005-0000-0000-000016040000}"/>
    <cellStyle name="EYColumnHeading_Bitum_E&amp;Y_v19" xfId="1808" xr:uid="{00000000-0005-0000-0000-000017040000}"/>
    <cellStyle name="EYColumnHeadingItalic" xfId="1809" xr:uid="{00000000-0005-0000-0000-000018040000}"/>
    <cellStyle name="EYCoverDatabookName" xfId="1810" xr:uid="{00000000-0005-0000-0000-000019040000}"/>
    <cellStyle name="EYCoverDate" xfId="1811" xr:uid="{00000000-0005-0000-0000-00001A040000}"/>
    <cellStyle name="EYCoverDraft" xfId="1812" xr:uid="{00000000-0005-0000-0000-00001B040000}"/>
    <cellStyle name="EYCoverProjectName" xfId="1813" xr:uid="{00000000-0005-0000-0000-00001C040000}"/>
    <cellStyle name="EYCurrency" xfId="1814" xr:uid="{00000000-0005-0000-0000-00001D040000}"/>
    <cellStyle name="EYDate" xfId="1815" xr:uid="{00000000-0005-0000-0000-00001E040000}"/>
    <cellStyle name="EYDeviant" xfId="1816" xr:uid="{00000000-0005-0000-0000-00001F040000}"/>
    <cellStyle name="EYHeader1" xfId="1817" xr:uid="{00000000-0005-0000-0000-000020040000}"/>
    <cellStyle name="EYHeader1 2" xfId="1818" xr:uid="{00000000-0005-0000-0000-000021040000}"/>
    <cellStyle name="EYHeader2" xfId="1819" xr:uid="{00000000-0005-0000-0000-000022040000}"/>
    <cellStyle name="EYHeader3" xfId="1820" xr:uid="{00000000-0005-0000-0000-000023040000}"/>
    <cellStyle name="EYHeading1" xfId="1821" xr:uid="{00000000-0005-0000-0000-000024040000}"/>
    <cellStyle name="EYheading2" xfId="1822" xr:uid="{00000000-0005-0000-0000-000025040000}"/>
    <cellStyle name="EYheading3" xfId="1823" xr:uid="{00000000-0005-0000-0000-000026040000}"/>
    <cellStyle name="EYInputDate" xfId="1824" xr:uid="{00000000-0005-0000-0000-000027040000}"/>
    <cellStyle name="EYInputPercent" xfId="1825" xr:uid="{00000000-0005-0000-0000-000028040000}"/>
    <cellStyle name="EYInputValue" xfId="1826" xr:uid="{00000000-0005-0000-0000-000029040000}"/>
    <cellStyle name="EYNormal" xfId="1827" xr:uid="{00000000-0005-0000-0000-00002A040000}"/>
    <cellStyle name="EYNotes" xfId="1828" xr:uid="{00000000-0005-0000-0000-00002B040000}"/>
    <cellStyle name="EYNotesHeading" xfId="1829" xr:uid="{00000000-0005-0000-0000-00002C040000}"/>
    <cellStyle name="EYNotesHeading 2" xfId="1830" xr:uid="{00000000-0005-0000-0000-00002D040000}"/>
    <cellStyle name="EYNotesHeading 2 2" xfId="1831" xr:uid="{00000000-0005-0000-0000-00002E040000}"/>
    <cellStyle name="EYnumber" xfId="1832" xr:uid="{00000000-0005-0000-0000-00002F040000}"/>
    <cellStyle name="EYnumber 2" xfId="1833" xr:uid="{00000000-0005-0000-0000-000030040000}"/>
    <cellStyle name="EYnumber 2 2" xfId="1834" xr:uid="{00000000-0005-0000-0000-000031040000}"/>
    <cellStyle name="EYPercent" xfId="1835" xr:uid="{00000000-0005-0000-0000-000032040000}"/>
    <cellStyle name="EYPercentCapped" xfId="1836" xr:uid="{00000000-0005-0000-0000-000033040000}"/>
    <cellStyle name="EYRelianceRestricted" xfId="1837" xr:uid="{00000000-0005-0000-0000-000034040000}"/>
    <cellStyle name="EYSectionHeading" xfId="1838" xr:uid="{00000000-0005-0000-0000-000035040000}"/>
    <cellStyle name="EYSheetHeader1" xfId="1839" xr:uid="{00000000-0005-0000-0000-000036040000}"/>
    <cellStyle name="EYSheetHeading" xfId="1840" xr:uid="{00000000-0005-0000-0000-000037040000}"/>
    <cellStyle name="EYSheetHeading 2" xfId="1841" xr:uid="{00000000-0005-0000-0000-000038040000}"/>
    <cellStyle name="EYsmallheading" xfId="1842" xr:uid="{00000000-0005-0000-0000-000039040000}"/>
    <cellStyle name="EYSource" xfId="1843" xr:uid="{00000000-0005-0000-0000-00003A040000}"/>
    <cellStyle name="EYSubTotal" xfId="1844" xr:uid="{00000000-0005-0000-0000-00003B040000}"/>
    <cellStyle name="EYtext" xfId="1845" xr:uid="{00000000-0005-0000-0000-00003C040000}"/>
    <cellStyle name="EYtext 2" xfId="1846" xr:uid="{00000000-0005-0000-0000-00003D040000}"/>
    <cellStyle name="EYtextbold" xfId="1847" xr:uid="{00000000-0005-0000-0000-00003E040000}"/>
    <cellStyle name="EYtextbolditalic" xfId="1848" xr:uid="{00000000-0005-0000-0000-00003F040000}"/>
    <cellStyle name="EYtextitalic" xfId="1849" xr:uid="{00000000-0005-0000-0000-000040040000}"/>
    <cellStyle name="EYTotal" xfId="1850" xr:uid="{00000000-0005-0000-0000-000041040000}"/>
    <cellStyle name="EYWIP" xfId="1851" xr:uid="{00000000-0005-0000-0000-000042040000}"/>
    <cellStyle name="F2" xfId="1852" xr:uid="{00000000-0005-0000-0000-000043040000}"/>
    <cellStyle name="F3" xfId="1853" xr:uid="{00000000-0005-0000-0000-000044040000}"/>
    <cellStyle name="F4" xfId="1854" xr:uid="{00000000-0005-0000-0000-000045040000}"/>
    <cellStyle name="F5" xfId="1855" xr:uid="{00000000-0005-0000-0000-000046040000}"/>
    <cellStyle name="F6" xfId="1856" xr:uid="{00000000-0005-0000-0000-000047040000}"/>
    <cellStyle name="F7" xfId="1857" xr:uid="{00000000-0005-0000-0000-000048040000}"/>
    <cellStyle name="F8" xfId="1858" xr:uid="{00000000-0005-0000-0000-000049040000}"/>
    <cellStyle name="Factor" xfId="1859" xr:uid="{00000000-0005-0000-0000-00004A040000}"/>
    <cellStyle name="FCHa" xfId="1860" xr:uid="{00000000-0005-0000-0000-00004B040000}"/>
    <cellStyle name="FCHECK" xfId="1861" xr:uid="{00000000-0005-0000-0000-00004C040000}"/>
    <cellStyle name="FCHECK 2" xfId="1862" xr:uid="{00000000-0005-0000-0000-00004D040000}"/>
    <cellStyle name="fghdfhgvhgvhOR" xfId="1863" xr:uid="{00000000-0005-0000-0000-00004E040000}"/>
    <cellStyle name="fghdfhgvhgvhOR 2" xfId="1864" xr:uid="{00000000-0005-0000-0000-00004F040000}"/>
    <cellStyle name="Final_Data" xfId="1865" xr:uid="{00000000-0005-0000-0000-000050040000}"/>
    <cellStyle name="Fixed" xfId="1866" xr:uid="{00000000-0005-0000-0000-000051040000}"/>
    <cellStyle name="Fixed3 - Style2" xfId="1867" xr:uid="{00000000-0005-0000-0000-000052040000}"/>
    <cellStyle name="Flag" xfId="1868" xr:uid="{00000000-0005-0000-0000-000053040000}"/>
    <cellStyle name="Flag 2" xfId="1869" xr:uid="{00000000-0005-0000-0000-000054040000}"/>
    <cellStyle name="Flag 3" xfId="1870" xr:uid="{00000000-0005-0000-0000-000055040000}"/>
    <cellStyle name="Flag 4" xfId="1871" xr:uid="{00000000-0005-0000-0000-000056040000}"/>
    <cellStyle name="Flag 5" xfId="1872" xr:uid="{00000000-0005-0000-0000-000057040000}"/>
    <cellStyle name="Flag_~9660252" xfId="1873" xr:uid="{00000000-0005-0000-0000-000058040000}"/>
    <cellStyle name="fo]_x000d__x000a_UserName=Murat Zelef_x000d__x000a_UserCompany=Bumerang_x000d__x000a__x000d__x000a_[File Paths]_x000d__x000a_WorkingDirectory=C:\EQUIS\DLWIN_x000d__x000a_DownLoader=C" xfId="1874" xr:uid="{00000000-0005-0000-0000-000059040000}"/>
    <cellStyle name="Footnote" xfId="1875" xr:uid="{00000000-0005-0000-0000-00005A040000}"/>
    <cellStyle name="formula" xfId="1876" xr:uid="{00000000-0005-0000-0000-00005B040000}"/>
    <cellStyle name="formula 2" xfId="1877" xr:uid="{00000000-0005-0000-0000-00005C040000}"/>
    <cellStyle name="Formula bold" xfId="1878" xr:uid="{00000000-0005-0000-0000-00005D040000}"/>
    <cellStyle name="Formula bold 2" xfId="1879" xr:uid="{00000000-0005-0000-0000-00005E040000}"/>
    <cellStyle name="Formula_20090317_MUSE_Final_DRAFT" xfId="1880" xr:uid="{00000000-0005-0000-0000-00005F040000}"/>
    <cellStyle name="FPerc" xfId="1881" xr:uid="{00000000-0005-0000-0000-000060040000}"/>
    <cellStyle name="FPerc 2" xfId="1882" xr:uid="{00000000-0005-0000-0000-000061040000}"/>
    <cellStyle name="From" xfId="1883" xr:uid="{00000000-0005-0000-0000-000062040000}"/>
    <cellStyle name="General" xfId="1884" xr:uid="{00000000-0005-0000-0000-000063040000}"/>
    <cellStyle name="Gia's" xfId="1885" xr:uid="{00000000-0005-0000-0000-000064040000}"/>
    <cellStyle name="Gia's 2" xfId="1886" xr:uid="{00000000-0005-0000-0000-000065040000}"/>
    <cellStyle name="Good" xfId="1887" xr:uid="{00000000-0005-0000-0000-000066040000}"/>
    <cellStyle name="Good 2" xfId="1888" xr:uid="{00000000-0005-0000-0000-000067040000}"/>
    <cellStyle name="Good_Полная модель Абхазия 31032011_bv" xfId="1889" xr:uid="{00000000-0005-0000-0000-000068040000}"/>
    <cellStyle name="Green" xfId="1890" xr:uid="{00000000-0005-0000-0000-000069040000}"/>
    <cellStyle name="Grey" xfId="1891" xr:uid="{00000000-0005-0000-0000-00006A040000}"/>
    <cellStyle name="H1" xfId="1892" xr:uid="{00000000-0005-0000-0000-00006B040000}"/>
    <cellStyle name="hard no" xfId="1893" xr:uid="{00000000-0005-0000-0000-00006C040000}"/>
    <cellStyle name="hard no 2" xfId="1894" xr:uid="{00000000-0005-0000-0000-00006D040000}"/>
    <cellStyle name="Hard Percent" xfId="1895" xr:uid="{00000000-0005-0000-0000-00006E040000}"/>
    <cellStyle name="hardno" xfId="1896" xr:uid="{00000000-0005-0000-0000-00006F040000}"/>
    <cellStyle name="Header" xfId="1897" xr:uid="{00000000-0005-0000-0000-000070040000}"/>
    <cellStyle name="Header1" xfId="1898" xr:uid="{00000000-0005-0000-0000-000071040000}"/>
    <cellStyle name="Header2" xfId="1899" xr:uid="{00000000-0005-0000-0000-000072040000}"/>
    <cellStyle name="Header2 2" xfId="1900" xr:uid="{00000000-0005-0000-0000-000073040000}"/>
    <cellStyle name="Heading" xfId="1901" xr:uid="{00000000-0005-0000-0000-000074040000}"/>
    <cellStyle name="Heading 1" xfId="1902" xr:uid="{00000000-0005-0000-0000-000075040000}"/>
    <cellStyle name="Heading 1 2" xfId="1903" xr:uid="{00000000-0005-0000-0000-000076040000}"/>
    <cellStyle name="Heading 1 3" xfId="1904" xr:uid="{00000000-0005-0000-0000-000077040000}"/>
    <cellStyle name="Heading 1_Анализ индикаторов на обесценение ИРРАО" xfId="1905" xr:uid="{00000000-0005-0000-0000-000078040000}"/>
    <cellStyle name="Heading 2" xfId="1906" xr:uid="{00000000-0005-0000-0000-000079040000}"/>
    <cellStyle name="Heading 2 2" xfId="1907" xr:uid="{00000000-0005-0000-0000-00007A040000}"/>
    <cellStyle name="Heading 2 3" xfId="1908" xr:uid="{00000000-0005-0000-0000-00007B040000}"/>
    <cellStyle name="Heading 2_Анализ индикаторов на обесценение ИРРАО" xfId="1909" xr:uid="{00000000-0005-0000-0000-00007C040000}"/>
    <cellStyle name="Heading 3" xfId="1910" xr:uid="{00000000-0005-0000-0000-00007D040000}"/>
    <cellStyle name="Heading 3 2" xfId="1911" xr:uid="{00000000-0005-0000-0000-00007E040000}"/>
    <cellStyle name="Heading 3 3" xfId="1912" xr:uid="{00000000-0005-0000-0000-00007F040000}"/>
    <cellStyle name="Heading 3_Анализ индикаторов на обесценение ИРРАО" xfId="1913" xr:uid="{00000000-0005-0000-0000-000080040000}"/>
    <cellStyle name="Heading 4" xfId="1914" xr:uid="{00000000-0005-0000-0000-000081040000}"/>
    <cellStyle name="Heading 4 2" xfId="1915" xr:uid="{00000000-0005-0000-0000-000082040000}"/>
    <cellStyle name="Heading 4_Полная модель Абхазия 31032011_bv" xfId="1916" xr:uid="{00000000-0005-0000-0000-000083040000}"/>
    <cellStyle name="Heading A" xfId="1917" xr:uid="{00000000-0005-0000-0000-000084040000}"/>
    <cellStyle name="Heading No Underline" xfId="1918" xr:uid="{00000000-0005-0000-0000-000085040000}"/>
    <cellStyle name="Heading With Underline" xfId="1919" xr:uid="{00000000-0005-0000-0000-000086040000}"/>
    <cellStyle name="Heading_06 11_ноябрь_19 12 06" xfId="1920" xr:uid="{00000000-0005-0000-0000-000087040000}"/>
    <cellStyle name="Heading1" xfId="1921" xr:uid="{00000000-0005-0000-0000-000088040000}"/>
    <cellStyle name="Heading1 1" xfId="1922" xr:uid="{00000000-0005-0000-0000-000089040000}"/>
    <cellStyle name="Heading1 2" xfId="1923" xr:uid="{00000000-0005-0000-0000-00008A040000}"/>
    <cellStyle name="Heading1 3" xfId="1924" xr:uid="{00000000-0005-0000-0000-00008B040000}"/>
    <cellStyle name="Heading1 4" xfId="1925" xr:uid="{00000000-0005-0000-0000-00008C040000}"/>
    <cellStyle name="Heading1 5" xfId="1926" xr:uid="{00000000-0005-0000-0000-00008D040000}"/>
    <cellStyle name="Heading1_~9660252" xfId="1927" xr:uid="{00000000-0005-0000-0000-00008E040000}"/>
    <cellStyle name="Heading2" xfId="1928" xr:uid="{00000000-0005-0000-0000-00008F040000}"/>
    <cellStyle name="Heading2 2" xfId="1929" xr:uid="{00000000-0005-0000-0000-000090040000}"/>
    <cellStyle name="Heading2 3" xfId="1930" xr:uid="{00000000-0005-0000-0000-000091040000}"/>
    <cellStyle name="Heading2 4" xfId="1931" xr:uid="{00000000-0005-0000-0000-000092040000}"/>
    <cellStyle name="Heading2 5" xfId="1932" xr:uid="{00000000-0005-0000-0000-000093040000}"/>
    <cellStyle name="Heading2_~9660252" xfId="1933" xr:uid="{00000000-0005-0000-0000-000094040000}"/>
    <cellStyle name="Heading3" xfId="1934" xr:uid="{00000000-0005-0000-0000-000095040000}"/>
    <cellStyle name="Heading3 2" xfId="1935" xr:uid="{00000000-0005-0000-0000-000096040000}"/>
    <cellStyle name="Heading3 3" xfId="1936" xr:uid="{00000000-0005-0000-0000-000097040000}"/>
    <cellStyle name="Heading3 4" xfId="1937" xr:uid="{00000000-0005-0000-0000-000098040000}"/>
    <cellStyle name="Heading3 5" xfId="1938" xr:uid="{00000000-0005-0000-0000-000099040000}"/>
    <cellStyle name="Heading3_~9660252" xfId="1939" xr:uid="{00000000-0005-0000-0000-00009A040000}"/>
    <cellStyle name="Heading4" xfId="1940" xr:uid="{00000000-0005-0000-0000-00009B040000}"/>
    <cellStyle name="Heading4 2" xfId="1941" xr:uid="{00000000-0005-0000-0000-00009C040000}"/>
    <cellStyle name="Heading4 3" xfId="1942" xr:uid="{00000000-0005-0000-0000-00009D040000}"/>
    <cellStyle name="Heading4 4" xfId="1943" xr:uid="{00000000-0005-0000-0000-00009E040000}"/>
    <cellStyle name="Heading4 5" xfId="1944" xr:uid="{00000000-0005-0000-0000-00009F040000}"/>
    <cellStyle name="Heading4_~9660252" xfId="1945" xr:uid="{00000000-0005-0000-0000-0000A0040000}"/>
    <cellStyle name="Heading5" xfId="1946" xr:uid="{00000000-0005-0000-0000-0000A1040000}"/>
    <cellStyle name="Heading5 2" xfId="1947" xr:uid="{00000000-0005-0000-0000-0000A2040000}"/>
    <cellStyle name="Heading5 3" xfId="1948" xr:uid="{00000000-0005-0000-0000-0000A3040000}"/>
    <cellStyle name="Heading5 4" xfId="1949" xr:uid="{00000000-0005-0000-0000-0000A4040000}"/>
    <cellStyle name="Heading5 5" xfId="1950" xr:uid="{00000000-0005-0000-0000-0000A5040000}"/>
    <cellStyle name="Heading5_~9660252" xfId="1951" xr:uid="{00000000-0005-0000-0000-0000A6040000}"/>
    <cellStyle name="Heading6" xfId="1952" xr:uid="{00000000-0005-0000-0000-0000A7040000}"/>
    <cellStyle name="Heading6 2" xfId="1953" xr:uid="{00000000-0005-0000-0000-0000A8040000}"/>
    <cellStyle name="Heading6 3" xfId="1954" xr:uid="{00000000-0005-0000-0000-0000A9040000}"/>
    <cellStyle name="Heading6 4" xfId="1955" xr:uid="{00000000-0005-0000-0000-0000AA040000}"/>
    <cellStyle name="Heading6 5" xfId="1956" xr:uid="{00000000-0005-0000-0000-0000AB040000}"/>
    <cellStyle name="Heading6_~9660252" xfId="1957" xr:uid="{00000000-0005-0000-0000-0000AC040000}"/>
    <cellStyle name="Headline I" xfId="1958" xr:uid="{00000000-0005-0000-0000-0000AD040000}"/>
    <cellStyle name="Headline II" xfId="1959" xr:uid="{00000000-0005-0000-0000-0000AE040000}"/>
    <cellStyle name="Headline III" xfId="1960" xr:uid="{00000000-0005-0000-0000-0000AF040000}"/>
    <cellStyle name="Headline2" xfId="1961" xr:uid="{00000000-0005-0000-0000-0000B0040000}"/>
    <cellStyle name="Headline3" xfId="1962" xr:uid="{00000000-0005-0000-0000-0000B1040000}"/>
    <cellStyle name="HidInp" xfId="1963" xr:uid="{00000000-0005-0000-0000-0000B2040000}"/>
    <cellStyle name="Hipervínculo visitado_~0039347" xfId="1964" xr:uid="{00000000-0005-0000-0000-0000B3040000}"/>
    <cellStyle name="Hipervínculo_COMPARATIVOSSI" xfId="1965" xr:uid="{00000000-0005-0000-0000-0000B4040000}"/>
    <cellStyle name="Horizontal" xfId="1966" xr:uid="{00000000-0005-0000-0000-0000B5040000}"/>
    <cellStyle name="Horizontal 2" xfId="1967" xr:uid="{00000000-0005-0000-0000-0000B6040000}"/>
    <cellStyle name="Horizontal 3" xfId="1968" xr:uid="{00000000-0005-0000-0000-0000B7040000}"/>
    <cellStyle name="Horizontal 4" xfId="1969" xr:uid="{00000000-0005-0000-0000-0000B8040000}"/>
    <cellStyle name="Horizontal 5" xfId="1970" xr:uid="{00000000-0005-0000-0000-0000B9040000}"/>
    <cellStyle name="Horizontal_~9660252" xfId="1971" xr:uid="{00000000-0005-0000-0000-0000BA040000}"/>
    <cellStyle name="Hyperlink 2" xfId="1972" xr:uid="{00000000-0005-0000-0000-0000BB040000}"/>
    <cellStyle name="Hyperlink 2 2" xfId="1973" xr:uid="{00000000-0005-0000-0000-0000BC040000}"/>
    <cellStyle name="Hyperlink 3" xfId="1974" xr:uid="{00000000-0005-0000-0000-0000BD040000}"/>
    <cellStyle name="Hyperlink 4" xfId="1975" xr:uid="{00000000-0005-0000-0000-0000BE040000}"/>
    <cellStyle name="Hyperlink 5" xfId="1976" xr:uid="{00000000-0005-0000-0000-0000BF040000}"/>
    <cellStyle name="Iau?iue_?iardu1999a" xfId="1977" xr:uid="{00000000-0005-0000-0000-0000C0040000}"/>
    <cellStyle name="Îáû÷íûé_23_1 " xfId="1978" xr:uid="{00000000-0005-0000-0000-0000C1040000}"/>
    <cellStyle name="IDLEditWorkbookLocalCurrency" xfId="1979" xr:uid="{00000000-0005-0000-0000-0000C2040000}"/>
    <cellStyle name="IDLEditWorkbookLocalCurrency 2" xfId="1980" xr:uid="{00000000-0005-0000-0000-0000C3040000}"/>
    <cellStyle name="IDLEditWorkbookLocalCurrency 3" xfId="1981" xr:uid="{00000000-0005-0000-0000-0000C4040000}"/>
    <cellStyle name="In%" xfId="1982" xr:uid="{00000000-0005-0000-0000-0000C5040000}"/>
    <cellStyle name="In% 2" xfId="1983" xr:uid="{00000000-0005-0000-0000-0000C6040000}"/>
    <cellStyle name="In0" xfId="1984" xr:uid="{00000000-0005-0000-0000-0000C7040000}"/>
    <cellStyle name="In0 2" xfId="1985" xr:uid="{00000000-0005-0000-0000-0000C8040000}"/>
    <cellStyle name="In1" xfId="1986" xr:uid="{00000000-0005-0000-0000-0000C9040000}"/>
    <cellStyle name="In1 2" xfId="1987" xr:uid="{00000000-0005-0000-0000-0000CA040000}"/>
    <cellStyle name="In2" xfId="1988" xr:uid="{00000000-0005-0000-0000-0000CB040000}"/>
    <cellStyle name="In2 2" xfId="1989" xr:uid="{00000000-0005-0000-0000-0000CC040000}"/>
    <cellStyle name="Indate" xfId="1990" xr:uid="{00000000-0005-0000-0000-0000CD040000}"/>
    <cellStyle name="Indate 2" xfId="1991" xr:uid="{00000000-0005-0000-0000-0000CE040000}"/>
    <cellStyle name="Info" xfId="1992" xr:uid="{00000000-0005-0000-0000-0000CF040000}"/>
    <cellStyle name="Info 2" xfId="1993" xr:uid="{00000000-0005-0000-0000-0000D0040000}"/>
    <cellStyle name="Input" xfId="1994" xr:uid="{00000000-0005-0000-0000-0000D1040000}"/>
    <cellStyle name="Input [yellow]" xfId="1995" xr:uid="{00000000-0005-0000-0000-0000D2040000}"/>
    <cellStyle name="Input [yellow] 2" xfId="1996" xr:uid="{00000000-0005-0000-0000-0000D3040000}"/>
    <cellStyle name="Input 10" xfId="1997" xr:uid="{00000000-0005-0000-0000-0000D4040000}"/>
    <cellStyle name="Input 11" xfId="1998" xr:uid="{00000000-0005-0000-0000-0000D5040000}"/>
    <cellStyle name="Input 12" xfId="1999" xr:uid="{00000000-0005-0000-0000-0000D6040000}"/>
    <cellStyle name="Input 13" xfId="2000" xr:uid="{00000000-0005-0000-0000-0000D7040000}"/>
    <cellStyle name="Input 14" xfId="2001" xr:uid="{00000000-0005-0000-0000-0000D8040000}"/>
    <cellStyle name="Input 15" xfId="2002" xr:uid="{00000000-0005-0000-0000-0000D9040000}"/>
    <cellStyle name="Input 16" xfId="2003" xr:uid="{00000000-0005-0000-0000-0000DA040000}"/>
    <cellStyle name="Input 17" xfId="2004" xr:uid="{00000000-0005-0000-0000-0000DB040000}"/>
    <cellStyle name="Input 18" xfId="2005" xr:uid="{00000000-0005-0000-0000-0000DC040000}"/>
    <cellStyle name="Input 19" xfId="2006" xr:uid="{00000000-0005-0000-0000-0000DD040000}"/>
    <cellStyle name="Input 2" xfId="2007" xr:uid="{00000000-0005-0000-0000-0000DE040000}"/>
    <cellStyle name="Input 2 2" xfId="2008" xr:uid="{00000000-0005-0000-0000-0000DF040000}"/>
    <cellStyle name="Input 20" xfId="2009" xr:uid="{00000000-0005-0000-0000-0000E0040000}"/>
    <cellStyle name="Input 21" xfId="2010" xr:uid="{00000000-0005-0000-0000-0000E1040000}"/>
    <cellStyle name="Input 22" xfId="2011" xr:uid="{00000000-0005-0000-0000-0000E2040000}"/>
    <cellStyle name="Input 23" xfId="2012" xr:uid="{00000000-0005-0000-0000-0000E3040000}"/>
    <cellStyle name="Input 24" xfId="2013" xr:uid="{00000000-0005-0000-0000-0000E4040000}"/>
    <cellStyle name="Input 25" xfId="2014" xr:uid="{00000000-0005-0000-0000-0000E5040000}"/>
    <cellStyle name="Input 3" xfId="2015" xr:uid="{00000000-0005-0000-0000-0000E6040000}"/>
    <cellStyle name="Input 4" xfId="2016" xr:uid="{00000000-0005-0000-0000-0000E7040000}"/>
    <cellStyle name="Input 5" xfId="2017" xr:uid="{00000000-0005-0000-0000-0000E8040000}"/>
    <cellStyle name="Input 6" xfId="2018" xr:uid="{00000000-0005-0000-0000-0000E9040000}"/>
    <cellStyle name="Input 7" xfId="2019" xr:uid="{00000000-0005-0000-0000-0000EA040000}"/>
    <cellStyle name="Input 8" xfId="2020" xr:uid="{00000000-0005-0000-0000-0000EB040000}"/>
    <cellStyle name="Input 9" xfId="2021" xr:uid="{00000000-0005-0000-0000-0000EC040000}"/>
    <cellStyle name="Input data" xfId="2022" xr:uid="{00000000-0005-0000-0000-0000ED040000}"/>
    <cellStyle name="Input_8. Sochinskaya TTP model" xfId="2023" xr:uid="{00000000-0005-0000-0000-0000EE040000}"/>
    <cellStyle name="InputCurrency" xfId="2024" xr:uid="{00000000-0005-0000-0000-0000EF040000}"/>
    <cellStyle name="InputCurrency2" xfId="2025" xr:uid="{00000000-0005-0000-0000-0000F0040000}"/>
    <cellStyle name="InputMultiple1" xfId="2026" xr:uid="{00000000-0005-0000-0000-0000F1040000}"/>
    <cellStyle name="InputPercent1" xfId="2027" xr:uid="{00000000-0005-0000-0000-0000F2040000}"/>
    <cellStyle name="Inputs" xfId="2028" xr:uid="{00000000-0005-0000-0000-0000F3040000}"/>
    <cellStyle name="Invisible" xfId="2029" xr:uid="{00000000-0005-0000-0000-0000F4040000}"/>
    <cellStyle name="Ioe?uaaaoayny aeia?nnueea" xfId="2030" xr:uid="{00000000-0005-0000-0000-0000F5040000}"/>
    <cellStyle name="ISO" xfId="2031" xr:uid="{00000000-0005-0000-0000-0000F6040000}"/>
    <cellStyle name="Ite2" xfId="2032" xr:uid="{00000000-0005-0000-0000-0000F7040000}"/>
    <cellStyle name="Item1" xfId="2033" xr:uid="{00000000-0005-0000-0000-0000F8040000}"/>
    <cellStyle name="Item2" xfId="2034" xr:uid="{00000000-0005-0000-0000-0000F9040000}"/>
    <cellStyle name="Item3" xfId="2035" xr:uid="{00000000-0005-0000-0000-0000FA040000}"/>
    <cellStyle name="KPMG Heading 1" xfId="2036" xr:uid="{00000000-0005-0000-0000-0000FB040000}"/>
    <cellStyle name="KPMG Heading 1 2" xfId="2037" xr:uid="{00000000-0005-0000-0000-0000FC040000}"/>
    <cellStyle name="KPMG Heading 2" xfId="2038" xr:uid="{00000000-0005-0000-0000-0000FD040000}"/>
    <cellStyle name="KPMG Heading 2 2" xfId="2039" xr:uid="{00000000-0005-0000-0000-0000FE040000}"/>
    <cellStyle name="KPMG Heading 3" xfId="2040" xr:uid="{00000000-0005-0000-0000-0000FF040000}"/>
    <cellStyle name="KPMG Heading 3 2" xfId="2041" xr:uid="{00000000-0005-0000-0000-000000050000}"/>
    <cellStyle name="KPMG Heading 4" xfId="2042" xr:uid="{00000000-0005-0000-0000-000001050000}"/>
    <cellStyle name="KPMG Heading 4 2" xfId="2043" xr:uid="{00000000-0005-0000-0000-000002050000}"/>
    <cellStyle name="KPMG Normal" xfId="2044" xr:uid="{00000000-0005-0000-0000-000003050000}"/>
    <cellStyle name="KPMG Normal 2" xfId="2045" xr:uid="{00000000-0005-0000-0000-000004050000}"/>
    <cellStyle name="KPMG Normal Text" xfId="2046" xr:uid="{00000000-0005-0000-0000-000005050000}"/>
    <cellStyle name="KPMG Normal Text 2" xfId="2047" xr:uid="{00000000-0005-0000-0000-000006050000}"/>
    <cellStyle name="KPMG Normal_123" xfId="2048" xr:uid="{00000000-0005-0000-0000-000007050000}"/>
    <cellStyle name="Li%" xfId="2049" xr:uid="{00000000-0005-0000-0000-000008050000}"/>
    <cellStyle name="Li0" xfId="2050" xr:uid="{00000000-0005-0000-0000-000009050000}"/>
    <cellStyle name="Li1" xfId="2051" xr:uid="{00000000-0005-0000-0000-00000A050000}"/>
    <cellStyle name="Li2" xfId="2052" xr:uid="{00000000-0005-0000-0000-00000B050000}"/>
    <cellStyle name="Lidate" xfId="2053" xr:uid="{00000000-0005-0000-0000-00000C050000}"/>
    <cellStyle name="Limked" xfId="2054" xr:uid="{00000000-0005-0000-0000-00000D050000}"/>
    <cellStyle name="link" xfId="2055" xr:uid="{00000000-0005-0000-0000-00000E050000}"/>
    <cellStyle name="link 2" xfId="2056" xr:uid="{00000000-0005-0000-0000-00000F050000}"/>
    <cellStyle name="Link Currency (0)" xfId="2057" xr:uid="{00000000-0005-0000-0000-000010050000}"/>
    <cellStyle name="Link Currency (2)" xfId="2058" xr:uid="{00000000-0005-0000-0000-000011050000}"/>
    <cellStyle name="Link Units (0)" xfId="2059" xr:uid="{00000000-0005-0000-0000-000012050000}"/>
    <cellStyle name="Link Units (1)" xfId="2060" xr:uid="{00000000-0005-0000-0000-000013050000}"/>
    <cellStyle name="Link Units (2)" xfId="2061" xr:uid="{00000000-0005-0000-0000-000014050000}"/>
    <cellStyle name="Linked" xfId="2062" xr:uid="{00000000-0005-0000-0000-000015050000}"/>
    <cellStyle name="Linked Cell" xfId="2063" xr:uid="{00000000-0005-0000-0000-000016050000}"/>
    <cellStyle name="Linked Cell 2" xfId="2064" xr:uid="{00000000-0005-0000-0000-000017050000}"/>
    <cellStyle name="Linked Cell_Полная модель Абхазия 31032011_bv" xfId="2065" xr:uid="{00000000-0005-0000-0000-000018050000}"/>
    <cellStyle name="linked values" xfId="2066" xr:uid="{00000000-0005-0000-0000-000019050000}"/>
    <cellStyle name="linked_PCSP (model)_24_final" xfId="2067" xr:uid="{00000000-0005-0000-0000-00001A050000}"/>
    <cellStyle name="LMK" xfId="2068" xr:uid="{00000000-0005-0000-0000-00001B050000}"/>
    <cellStyle name="LMK 2" xfId="2069" xr:uid="{00000000-0005-0000-0000-00001C050000}"/>
    <cellStyle name="LookUpText" xfId="2070" xr:uid="{00000000-0005-0000-0000-00001D050000}"/>
    <cellStyle name="M·na" xfId="2071" xr:uid="{00000000-0005-0000-0000-00001E050000}"/>
    <cellStyle name="MacroCode" xfId="2072" xr:uid="{00000000-0005-0000-0000-00001F050000}"/>
    <cellStyle name="Matrix" xfId="2073" xr:uid="{00000000-0005-0000-0000-000020050000}"/>
    <cellStyle name="Matrix 2" xfId="2074" xr:uid="{00000000-0005-0000-0000-000021050000}"/>
    <cellStyle name="Matrix 3" xfId="2075" xr:uid="{00000000-0005-0000-0000-000022050000}"/>
    <cellStyle name="Matrix 4" xfId="2076" xr:uid="{00000000-0005-0000-0000-000023050000}"/>
    <cellStyle name="Matrix 5" xfId="2077" xr:uid="{00000000-0005-0000-0000-000024050000}"/>
    <cellStyle name="Matrix_~9660252" xfId="2078" xr:uid="{00000000-0005-0000-0000-000025050000}"/>
    <cellStyle name="Migliaia (0)" xfId="2079" xr:uid="{00000000-0005-0000-0000-000026050000}"/>
    <cellStyle name="Migliaia_Ita_01graf" xfId="2080" xr:uid="{00000000-0005-0000-0000-000027050000}"/>
    <cellStyle name="Millares [0]_~0011760" xfId="2081" xr:uid="{00000000-0005-0000-0000-000028050000}"/>
    <cellStyle name="Millares_~0011760" xfId="2082" xr:uid="{00000000-0005-0000-0000-000029050000}"/>
    <cellStyle name="Milliers [0]_laroux" xfId="2083" xr:uid="{00000000-0005-0000-0000-00002A050000}"/>
    <cellStyle name="Milliers_AME199  " xfId="2084" xr:uid="{00000000-0005-0000-0000-00002B050000}"/>
    <cellStyle name="Mon?taire [0]_RESULTS" xfId="2085" xr:uid="{00000000-0005-0000-0000-00002C050000}"/>
    <cellStyle name="Mon?taire_RESULTS" xfId="2086" xr:uid="{00000000-0005-0000-0000-00002D050000}"/>
    <cellStyle name="Moneda [0]_~0011760" xfId="2087" xr:uid="{00000000-0005-0000-0000-00002E050000}"/>
    <cellStyle name="Moneda_~0011760" xfId="2088" xr:uid="{00000000-0005-0000-0000-00002F050000}"/>
    <cellStyle name="Monetaire [0]_AR" xfId="2089" xr:uid="{00000000-0005-0000-0000-000030050000}"/>
    <cellStyle name="Monétaire [0]_RESULTS" xfId="2090" xr:uid="{00000000-0005-0000-0000-000031050000}"/>
    <cellStyle name="Monétaire_AME199  " xfId="2091" xr:uid="{00000000-0005-0000-0000-000032050000}"/>
    <cellStyle name="Monetaire_AR" xfId="2092" xr:uid="{00000000-0005-0000-0000-000033050000}"/>
    <cellStyle name="Monétaire_RESULTS" xfId="2093" xr:uid="{00000000-0005-0000-0000-000034050000}"/>
    <cellStyle name="Multiple" xfId="2094" xr:uid="{00000000-0005-0000-0000-000035050000}"/>
    <cellStyle name="Multiple1" xfId="2095" xr:uid="{00000000-0005-0000-0000-000036050000}"/>
    <cellStyle name="MultipleBelow" xfId="2096" xr:uid="{00000000-0005-0000-0000-000037050000}"/>
    <cellStyle name="Nadpis1" xfId="2097" xr:uid="{00000000-0005-0000-0000-000038050000}"/>
    <cellStyle name="Nadpis2" xfId="2098" xr:uid="{00000000-0005-0000-0000-000039050000}"/>
    <cellStyle name="Nedefinován" xfId="2099" xr:uid="{00000000-0005-0000-0000-00003A050000}"/>
    <cellStyle name="Neutral" xfId="2100" xr:uid="{00000000-0005-0000-0000-00003B050000}"/>
    <cellStyle name="Neutral 2" xfId="2101" xr:uid="{00000000-0005-0000-0000-00003C050000}"/>
    <cellStyle name="Neutral_Полная модель Абхазия 31032011_bv" xfId="2102" xr:uid="{00000000-0005-0000-0000-00003D050000}"/>
    <cellStyle name="NewColumnHeaderNormal" xfId="2103" xr:uid="{00000000-0005-0000-0000-00003E050000}"/>
    <cellStyle name="NewSectionHeaderNormal" xfId="2104" xr:uid="{00000000-0005-0000-0000-00003F050000}"/>
    <cellStyle name="NewTitleNormal" xfId="2105" xr:uid="{00000000-0005-0000-0000-000040050000}"/>
    <cellStyle name="no dec" xfId="2106" xr:uid="{00000000-0005-0000-0000-000041050000}"/>
    <cellStyle name="Non d‚fini" xfId="2107" xr:uid="{00000000-0005-0000-0000-000042050000}"/>
    <cellStyle name="Non défini" xfId="2108" xr:uid="{00000000-0005-0000-0000-000043050000}"/>
    <cellStyle name="Non défini 2" xfId="2109" xr:uid="{00000000-0005-0000-0000-000044050000}"/>
    <cellStyle name="Non défini 3" xfId="2110" xr:uid="{00000000-0005-0000-0000-000045050000}"/>
    <cellStyle name="Non défini_Анализ индикаторов на обесценение ИРРАО" xfId="2111" xr:uid="{00000000-0005-0000-0000-000046050000}"/>
    <cellStyle name="nopl_WCP.XLS" xfId="2112" xr:uid="{00000000-0005-0000-0000-000047050000}"/>
    <cellStyle name="Norma11l" xfId="2115" xr:uid="{00000000-0005-0000-0000-000048050000}"/>
    <cellStyle name="Normal - Style1" xfId="2116" xr:uid="{00000000-0005-0000-0000-000049050000}"/>
    <cellStyle name="Normal - Style1 2" xfId="2117" xr:uid="{00000000-0005-0000-0000-00004A050000}"/>
    <cellStyle name="Normal - Style1 3" xfId="2118" xr:uid="{00000000-0005-0000-0000-00004B050000}"/>
    <cellStyle name="Normal - Style1_TheModel_30_2012" xfId="2119" xr:uid="{00000000-0005-0000-0000-00004C050000}"/>
    <cellStyle name="Normal 10" xfId="2120" xr:uid="{00000000-0005-0000-0000-00004D050000}"/>
    <cellStyle name="Normal 10 2" xfId="2121" xr:uid="{00000000-0005-0000-0000-00004E050000}"/>
    <cellStyle name="Normal 10 2 2" xfId="2122" xr:uid="{00000000-0005-0000-0000-00004F050000}"/>
    <cellStyle name="Normal 10 2 2 2" xfId="2123" xr:uid="{00000000-0005-0000-0000-000050050000}"/>
    <cellStyle name="Normal 10 2 3" xfId="2124" xr:uid="{00000000-0005-0000-0000-000051050000}"/>
    <cellStyle name="Normal 10 3" xfId="2125" xr:uid="{00000000-0005-0000-0000-000052050000}"/>
    <cellStyle name="Normal 10 3 2" xfId="2126" xr:uid="{00000000-0005-0000-0000-000053050000}"/>
    <cellStyle name="Normal 10 4" xfId="2127" xr:uid="{00000000-0005-0000-0000-000054050000}"/>
    <cellStyle name="Normal 11" xfId="2128" xr:uid="{00000000-0005-0000-0000-000055050000}"/>
    <cellStyle name="Normal 12" xfId="2129" xr:uid="{00000000-0005-0000-0000-000056050000}"/>
    <cellStyle name="Normal 13" xfId="2130" xr:uid="{00000000-0005-0000-0000-000057050000}"/>
    <cellStyle name="Normal 14" xfId="2131" xr:uid="{00000000-0005-0000-0000-000058050000}"/>
    <cellStyle name="Normal 15" xfId="2132" xr:uid="{00000000-0005-0000-0000-000059050000}"/>
    <cellStyle name="Normal 15 2" xfId="2133" xr:uid="{00000000-0005-0000-0000-00005A050000}"/>
    <cellStyle name="Normal 15 2 2" xfId="2134" xr:uid="{00000000-0005-0000-0000-00005B050000}"/>
    <cellStyle name="Normal 15 2 2 2" xfId="2135" xr:uid="{00000000-0005-0000-0000-00005C050000}"/>
    <cellStyle name="Normal 15 2 3" xfId="2136" xr:uid="{00000000-0005-0000-0000-00005D050000}"/>
    <cellStyle name="Normal 16" xfId="2137" xr:uid="{00000000-0005-0000-0000-00005E050000}"/>
    <cellStyle name="Normal 17" xfId="2138" xr:uid="{00000000-0005-0000-0000-00005F050000}"/>
    <cellStyle name="Normal 18" xfId="2139" xr:uid="{00000000-0005-0000-0000-000060050000}"/>
    <cellStyle name="Normal 19" xfId="2140" xr:uid="{00000000-0005-0000-0000-000061050000}"/>
    <cellStyle name="Normal 2" xfId="2141" xr:uid="{00000000-0005-0000-0000-000062050000}"/>
    <cellStyle name="Normal 2 10" xfId="2142" xr:uid="{00000000-0005-0000-0000-000063050000}"/>
    <cellStyle name="Normal 2 11" xfId="2143" xr:uid="{00000000-0005-0000-0000-000064050000}"/>
    <cellStyle name="Normal 2 12" xfId="2144" xr:uid="{00000000-0005-0000-0000-000065050000}"/>
    <cellStyle name="Normal 2 13" xfId="2145" xr:uid="{00000000-0005-0000-0000-000066050000}"/>
    <cellStyle name="Normal 2 14" xfId="2146" xr:uid="{00000000-0005-0000-0000-000067050000}"/>
    <cellStyle name="Normal 2 2" xfId="2147" xr:uid="{00000000-0005-0000-0000-000068050000}"/>
    <cellStyle name="Normal 2 2 2" xfId="2148" xr:uid="{00000000-0005-0000-0000-000069050000}"/>
    <cellStyle name="Normal 2 3" xfId="2149" xr:uid="{00000000-0005-0000-0000-00006A050000}"/>
    <cellStyle name="Normal 2 4" xfId="2150" xr:uid="{00000000-0005-0000-0000-00006B050000}"/>
    <cellStyle name="Normal 2 4 2" xfId="2151" xr:uid="{00000000-0005-0000-0000-00006C050000}"/>
    <cellStyle name="Normal 2 5" xfId="2152" xr:uid="{00000000-0005-0000-0000-00006D050000}"/>
    <cellStyle name="Normal 2 6" xfId="2153" xr:uid="{00000000-0005-0000-0000-00006E050000}"/>
    <cellStyle name="Normal 2 7" xfId="2154" xr:uid="{00000000-0005-0000-0000-00006F050000}"/>
    <cellStyle name="Normal 2 8" xfId="2155" xr:uid="{00000000-0005-0000-0000-000070050000}"/>
    <cellStyle name="Normal 2 9" xfId="2156" xr:uid="{00000000-0005-0000-0000-000071050000}"/>
    <cellStyle name="Normal 2_BOG_IFRS FS &amp; Disclosures_2007" xfId="2157" xr:uid="{00000000-0005-0000-0000-000072050000}"/>
    <cellStyle name="Normal 20" xfId="2158" xr:uid="{00000000-0005-0000-0000-000073050000}"/>
    <cellStyle name="Normal 21" xfId="2159" xr:uid="{00000000-0005-0000-0000-000074050000}"/>
    <cellStyle name="Normal 22" xfId="2160" xr:uid="{00000000-0005-0000-0000-000075050000}"/>
    <cellStyle name="Normal 23" xfId="2161" xr:uid="{00000000-0005-0000-0000-000076050000}"/>
    <cellStyle name="Normal 24" xfId="2162" xr:uid="{00000000-0005-0000-0000-000077050000}"/>
    <cellStyle name="Normal 24 2" xfId="2163" xr:uid="{00000000-0005-0000-0000-000078050000}"/>
    <cellStyle name="Normal 25" xfId="2164" xr:uid="{00000000-0005-0000-0000-000079050000}"/>
    <cellStyle name="Normal 26" xfId="2165" xr:uid="{00000000-0005-0000-0000-00007A050000}"/>
    <cellStyle name="Normal 27" xfId="2166" xr:uid="{00000000-0005-0000-0000-00007B050000}"/>
    <cellStyle name="Normal 28" xfId="2167" xr:uid="{00000000-0005-0000-0000-00007C050000}"/>
    <cellStyle name="Normal 29" xfId="2168" xr:uid="{00000000-0005-0000-0000-00007D050000}"/>
    <cellStyle name="Normal 3" xfId="2169" xr:uid="{00000000-0005-0000-0000-00007E050000}"/>
    <cellStyle name="Normal 3 2" xfId="2170" xr:uid="{00000000-0005-0000-0000-00007F050000}"/>
    <cellStyle name="Normal 3 3" xfId="2171" xr:uid="{00000000-0005-0000-0000-000080050000}"/>
    <cellStyle name="Normal 30" xfId="2172" xr:uid="{00000000-0005-0000-0000-000081050000}"/>
    <cellStyle name="Normal 31" xfId="2173" xr:uid="{00000000-0005-0000-0000-000082050000}"/>
    <cellStyle name="Normal 32" xfId="2174" xr:uid="{00000000-0005-0000-0000-000083050000}"/>
    <cellStyle name="Normal 33" xfId="2175" xr:uid="{00000000-0005-0000-0000-000084050000}"/>
    <cellStyle name="Normal 34" xfId="2176" xr:uid="{00000000-0005-0000-0000-000085050000}"/>
    <cellStyle name="Normal 35" xfId="2177" xr:uid="{00000000-0005-0000-0000-000086050000}"/>
    <cellStyle name="Normal 36" xfId="2178" xr:uid="{00000000-0005-0000-0000-000087050000}"/>
    <cellStyle name="Normal 37" xfId="2179" xr:uid="{00000000-0005-0000-0000-000088050000}"/>
    <cellStyle name="Normal 38" xfId="2180" xr:uid="{00000000-0005-0000-0000-000089050000}"/>
    <cellStyle name="Normal 39" xfId="2181" xr:uid="{00000000-0005-0000-0000-00008A050000}"/>
    <cellStyle name="Normal 4" xfId="2182" xr:uid="{00000000-0005-0000-0000-00008B050000}"/>
    <cellStyle name="Normal 4 2" xfId="2183" xr:uid="{00000000-0005-0000-0000-00008C050000}"/>
    <cellStyle name="Normal 40" xfId="2184" xr:uid="{00000000-0005-0000-0000-00008D050000}"/>
    <cellStyle name="Normal 41" xfId="2185" xr:uid="{00000000-0005-0000-0000-00008E050000}"/>
    <cellStyle name="Normal 42" xfId="2186" xr:uid="{00000000-0005-0000-0000-00008F050000}"/>
    <cellStyle name="Normal 43" xfId="2187" xr:uid="{00000000-0005-0000-0000-000090050000}"/>
    <cellStyle name="Normal 44" xfId="2188" xr:uid="{00000000-0005-0000-0000-000091050000}"/>
    <cellStyle name="Normal 45" xfId="2189" xr:uid="{00000000-0005-0000-0000-000092050000}"/>
    <cellStyle name="Normal 46" xfId="2190" xr:uid="{00000000-0005-0000-0000-000093050000}"/>
    <cellStyle name="Normal 47" xfId="2191" xr:uid="{00000000-0005-0000-0000-000094050000}"/>
    <cellStyle name="Normal 48" xfId="2192" xr:uid="{00000000-0005-0000-0000-000095050000}"/>
    <cellStyle name="Normal 49" xfId="2193" xr:uid="{00000000-0005-0000-0000-000096050000}"/>
    <cellStyle name="Normal 5" xfId="2194" xr:uid="{00000000-0005-0000-0000-000097050000}"/>
    <cellStyle name="Normal 5 2" xfId="2195" xr:uid="{00000000-0005-0000-0000-000098050000}"/>
    <cellStyle name="Normal 5 2 2" xfId="2196" xr:uid="{00000000-0005-0000-0000-000099050000}"/>
    <cellStyle name="Normal 5 2 2 2" xfId="2197" xr:uid="{00000000-0005-0000-0000-00009A050000}"/>
    <cellStyle name="Normal 5 2 3" xfId="2198" xr:uid="{00000000-0005-0000-0000-00009B050000}"/>
    <cellStyle name="Normal 5 3" xfId="2199" xr:uid="{00000000-0005-0000-0000-00009C050000}"/>
    <cellStyle name="Normal 5 3 2" xfId="2200" xr:uid="{00000000-0005-0000-0000-00009D050000}"/>
    <cellStyle name="Normal 5 4" xfId="2201" xr:uid="{00000000-0005-0000-0000-00009E050000}"/>
    <cellStyle name="Normal 50" xfId="2202" xr:uid="{00000000-0005-0000-0000-00009F050000}"/>
    <cellStyle name="Normal 51" xfId="2203" xr:uid="{00000000-0005-0000-0000-0000A0050000}"/>
    <cellStyle name="Normal 52" xfId="2204" xr:uid="{00000000-0005-0000-0000-0000A1050000}"/>
    <cellStyle name="Normal 53" xfId="2205" xr:uid="{00000000-0005-0000-0000-0000A2050000}"/>
    <cellStyle name="Normal 54" xfId="2206" xr:uid="{00000000-0005-0000-0000-0000A3050000}"/>
    <cellStyle name="Normal 55" xfId="2207" xr:uid="{00000000-0005-0000-0000-0000A4050000}"/>
    <cellStyle name="Normal 56" xfId="2208" xr:uid="{00000000-0005-0000-0000-0000A5050000}"/>
    <cellStyle name="Normal 57" xfId="2209" xr:uid="{00000000-0005-0000-0000-0000A6050000}"/>
    <cellStyle name="Normal 58" xfId="2210" xr:uid="{00000000-0005-0000-0000-0000A7050000}"/>
    <cellStyle name="Normal 59" xfId="2211" xr:uid="{00000000-0005-0000-0000-0000A8050000}"/>
    <cellStyle name="Normal 6" xfId="2212" xr:uid="{00000000-0005-0000-0000-0000A9050000}"/>
    <cellStyle name="Normal 60" xfId="2213" xr:uid="{00000000-0005-0000-0000-0000AA050000}"/>
    <cellStyle name="Normal 61" xfId="2214" xr:uid="{00000000-0005-0000-0000-0000AB050000}"/>
    <cellStyle name="Normal 62" xfId="2215" xr:uid="{00000000-0005-0000-0000-0000AC050000}"/>
    <cellStyle name="Normal 63" xfId="2216" xr:uid="{00000000-0005-0000-0000-0000AD050000}"/>
    <cellStyle name="Normal 64" xfId="2217" xr:uid="{00000000-0005-0000-0000-0000AE050000}"/>
    <cellStyle name="Normal 65" xfId="2218" xr:uid="{00000000-0005-0000-0000-0000AF050000}"/>
    <cellStyle name="Normal 66" xfId="2219" xr:uid="{00000000-0005-0000-0000-0000B0050000}"/>
    <cellStyle name="Normal 67" xfId="2220" xr:uid="{00000000-0005-0000-0000-0000B1050000}"/>
    <cellStyle name="Normal 68" xfId="2221" xr:uid="{00000000-0005-0000-0000-0000B2050000}"/>
    <cellStyle name="Normal 69" xfId="2222" xr:uid="{00000000-0005-0000-0000-0000B3050000}"/>
    <cellStyle name="Normal 7" xfId="2223" xr:uid="{00000000-0005-0000-0000-0000B4050000}"/>
    <cellStyle name="Normal 70" xfId="2224" xr:uid="{00000000-0005-0000-0000-0000B5050000}"/>
    <cellStyle name="Normal 71" xfId="2225" xr:uid="{00000000-0005-0000-0000-0000B6050000}"/>
    <cellStyle name="Normal 72" xfId="2226" xr:uid="{00000000-0005-0000-0000-0000B7050000}"/>
    <cellStyle name="Normal 73" xfId="2227" xr:uid="{00000000-0005-0000-0000-0000B8050000}"/>
    <cellStyle name="Normal 74" xfId="2228" xr:uid="{00000000-0005-0000-0000-0000B9050000}"/>
    <cellStyle name="Normal 75" xfId="2229" xr:uid="{00000000-0005-0000-0000-0000BA050000}"/>
    <cellStyle name="Normal 76" xfId="2230" xr:uid="{00000000-0005-0000-0000-0000BB050000}"/>
    <cellStyle name="Normal 77" xfId="2231" xr:uid="{00000000-0005-0000-0000-0000BC050000}"/>
    <cellStyle name="Normal 78" xfId="2232" xr:uid="{00000000-0005-0000-0000-0000BD050000}"/>
    <cellStyle name="Normal 79" xfId="2233" xr:uid="{00000000-0005-0000-0000-0000BE050000}"/>
    <cellStyle name="Normal 8" xfId="2234" xr:uid="{00000000-0005-0000-0000-0000BF050000}"/>
    <cellStyle name="Normal 8 2" xfId="2235" xr:uid="{00000000-0005-0000-0000-0000C0050000}"/>
    <cellStyle name="Normal 8 2 2" xfId="2236" xr:uid="{00000000-0005-0000-0000-0000C1050000}"/>
    <cellStyle name="Normal 8 2 2 2" xfId="2237" xr:uid="{00000000-0005-0000-0000-0000C2050000}"/>
    <cellStyle name="Normal 8 2 3" xfId="2238" xr:uid="{00000000-0005-0000-0000-0000C3050000}"/>
    <cellStyle name="Normal 8 3" xfId="2239" xr:uid="{00000000-0005-0000-0000-0000C4050000}"/>
    <cellStyle name="Normal 8 3 2" xfId="2240" xr:uid="{00000000-0005-0000-0000-0000C5050000}"/>
    <cellStyle name="Normal 8 4" xfId="2241" xr:uid="{00000000-0005-0000-0000-0000C6050000}"/>
    <cellStyle name="Normal 80" xfId="2242" xr:uid="{00000000-0005-0000-0000-0000C7050000}"/>
    <cellStyle name="Normal 81" xfId="2243" xr:uid="{00000000-0005-0000-0000-0000C8050000}"/>
    <cellStyle name="Normal 82" xfId="2244" xr:uid="{00000000-0005-0000-0000-0000C9050000}"/>
    <cellStyle name="Normal 83" xfId="2245" xr:uid="{00000000-0005-0000-0000-0000CA050000}"/>
    <cellStyle name="Normal 84" xfId="2246" xr:uid="{00000000-0005-0000-0000-0000CB050000}"/>
    <cellStyle name="Normal 85" xfId="2247" xr:uid="{00000000-0005-0000-0000-0000CC050000}"/>
    <cellStyle name="Normal 86" xfId="2248" xr:uid="{00000000-0005-0000-0000-0000CD050000}"/>
    <cellStyle name="Normal 87" xfId="2249" xr:uid="{00000000-0005-0000-0000-0000CE050000}"/>
    <cellStyle name="Normal 9" xfId="2250" xr:uid="{00000000-0005-0000-0000-0000CF050000}"/>
    <cellStyle name="Normal_SHEET" xfId="2251" xr:uid="{00000000-0005-0000-0000-0000D0050000}"/>
    <cellStyle name="Normal1" xfId="2252" xr:uid="{00000000-0005-0000-0000-0000D1050000}"/>
    <cellStyle name="Normal2" xfId="2253" xr:uid="{00000000-0005-0000-0000-0000D2050000}"/>
    <cellStyle name="Normale_Ita_01graf" xfId="2254" xr:uid="{00000000-0005-0000-0000-0000D3050000}"/>
    <cellStyle name="NormalGB" xfId="2255" xr:uid="{00000000-0005-0000-0000-0000D4050000}"/>
    <cellStyle name="normálne_Valuation August 16,2000" xfId="2256" xr:uid="{00000000-0005-0000-0000-0000D5050000}"/>
    <cellStyle name="normální_model květen" xfId="2257" xr:uid="{00000000-0005-0000-0000-0000D6050000}"/>
    <cellStyle name="Normalny_0" xfId="2258" xr:uid="{00000000-0005-0000-0000-0000D7050000}"/>
    <cellStyle name="normбlnм_laroux" xfId="2113" xr:uid="{00000000-0005-0000-0000-0000D8050000}"/>
    <cellStyle name="normбlnн_laroux" xfId="2114" xr:uid="{00000000-0005-0000-0000-0000D9050000}"/>
    <cellStyle name="Note" xfId="2259" xr:uid="{00000000-0005-0000-0000-0000DA050000}"/>
    <cellStyle name="Note 2" xfId="2260" xr:uid="{00000000-0005-0000-0000-0000DB050000}"/>
    <cellStyle name="Note 2 2" xfId="2261" xr:uid="{00000000-0005-0000-0000-0000DC050000}"/>
    <cellStyle name="Note 2 2 2" xfId="2262" xr:uid="{00000000-0005-0000-0000-0000DD050000}"/>
    <cellStyle name="Note 2 3" xfId="2263" xr:uid="{00000000-0005-0000-0000-0000DE050000}"/>
    <cellStyle name="Note 2 4" xfId="2264" xr:uid="{00000000-0005-0000-0000-0000DF050000}"/>
    <cellStyle name="Note 3" xfId="2265" xr:uid="{00000000-0005-0000-0000-0000E0050000}"/>
    <cellStyle name="Note 4" xfId="2266" xr:uid="{00000000-0005-0000-0000-0000E1050000}"/>
    <cellStyle name="Note 5" xfId="2267" xr:uid="{00000000-0005-0000-0000-0000E2050000}"/>
    <cellStyle name="Note_Анализ индикаторов на обесценение ИРРАО" xfId="2268" xr:uid="{00000000-0005-0000-0000-0000E3050000}"/>
    <cellStyle name="Nun??c [0]_Ecnn1" xfId="2269" xr:uid="{00000000-0005-0000-0000-0000E4050000}"/>
    <cellStyle name="Nun??c_Ecnn1" xfId="2270" xr:uid="{00000000-0005-0000-0000-0000E5050000}"/>
    <cellStyle name="Ociriniaue [0]_laroux" xfId="2271" xr:uid="{00000000-0005-0000-0000-0000E6050000}"/>
    <cellStyle name="Ociriniaue_laroux" xfId="2272" xr:uid="{00000000-0005-0000-0000-0000E7050000}"/>
    <cellStyle name="Ôèíàíñîâûé [0]_Ëèñò1" xfId="2273" xr:uid="{00000000-0005-0000-0000-0000E8050000}"/>
    <cellStyle name="Oeiainiaue [0]_NotesFA" xfId="2274" xr:uid="{00000000-0005-0000-0000-0000E9050000}"/>
    <cellStyle name="Ôèíàíñîâûé_Ëèñò1" xfId="2275" xr:uid="{00000000-0005-0000-0000-0000EA050000}"/>
    <cellStyle name="Oeiainiaue_NotesFA" xfId="2276" xr:uid="{00000000-0005-0000-0000-0000EB050000}"/>
    <cellStyle name="OInput" xfId="2277" xr:uid="{00000000-0005-0000-0000-0000EC050000}"/>
    <cellStyle name="Option" xfId="2278" xr:uid="{00000000-0005-0000-0000-0000ED050000}"/>
    <cellStyle name="Option 2" xfId="2279" xr:uid="{00000000-0005-0000-0000-0000EE050000}"/>
    <cellStyle name="Option 3" xfId="2280" xr:uid="{00000000-0005-0000-0000-0000EF050000}"/>
    <cellStyle name="Option_Анализ индикаторов на обесценение ИРРАО" xfId="2281" xr:uid="{00000000-0005-0000-0000-0000F0050000}"/>
    <cellStyle name="OptionHeading" xfId="2282" xr:uid="{00000000-0005-0000-0000-0000F1050000}"/>
    <cellStyle name="OptionHeading 2" xfId="2283" xr:uid="{00000000-0005-0000-0000-0000F2050000}"/>
    <cellStyle name="OptionHeading 3" xfId="2284" xr:uid="{00000000-0005-0000-0000-0000F3050000}"/>
    <cellStyle name="OptionHeading 4" xfId="2285" xr:uid="{00000000-0005-0000-0000-0000F4050000}"/>
    <cellStyle name="OptionHeading 5" xfId="2286" xr:uid="{00000000-0005-0000-0000-0000F5050000}"/>
    <cellStyle name="OptionHeading_~9660252" xfId="2287" xr:uid="{00000000-0005-0000-0000-0000F6050000}"/>
    <cellStyle name="OScommands" xfId="2288" xr:uid="{00000000-0005-0000-0000-0000F7050000}"/>
    <cellStyle name="Ouny?e [0]_Oi?a IAIE" xfId="2289" xr:uid="{00000000-0005-0000-0000-0000F8050000}"/>
    <cellStyle name="Ouny?e_Oi?a IAIE" xfId="2290" xr:uid="{00000000-0005-0000-0000-0000F9050000}"/>
    <cellStyle name="Òûñÿ÷è [0]_cogs" xfId="2291" xr:uid="{00000000-0005-0000-0000-0000FA050000}"/>
    <cellStyle name="Òûñÿ÷è_cogs" xfId="2292" xr:uid="{00000000-0005-0000-0000-0000FB050000}"/>
    <cellStyle name="Output" xfId="2293" xr:uid="{00000000-0005-0000-0000-0000FC050000}"/>
    <cellStyle name="Output 2" xfId="2294" xr:uid="{00000000-0005-0000-0000-0000FD050000}"/>
    <cellStyle name="Output 2 2" xfId="2295" xr:uid="{00000000-0005-0000-0000-0000FE050000}"/>
    <cellStyle name="Output 3" xfId="2296" xr:uid="{00000000-0005-0000-0000-0000FF050000}"/>
    <cellStyle name="Output_Полная модель Абхазия 31032011_bv" xfId="2297" xr:uid="{00000000-0005-0000-0000-000000060000}"/>
    <cellStyle name="P_Input" xfId="2298" xr:uid="{00000000-0005-0000-0000-000001060000}"/>
    <cellStyle name="Paaotsikko" xfId="2300" xr:uid="{00000000-0005-0000-0000-000002060000}"/>
    <cellStyle name="Page Number" xfId="2301" xr:uid="{00000000-0005-0000-0000-000003060000}"/>
    <cellStyle name="PageSubTitle" xfId="2302" xr:uid="{00000000-0005-0000-0000-000004060000}"/>
    <cellStyle name="pb_page_heading_LS" xfId="2303" xr:uid="{00000000-0005-0000-0000-000005060000}"/>
    <cellStyle name="Percen - Style1" xfId="2304" xr:uid="{00000000-0005-0000-0000-000006060000}"/>
    <cellStyle name="Percen - Style1 2" xfId="2305" xr:uid="{00000000-0005-0000-0000-000007060000}"/>
    <cellStyle name="Percen - Style1 3" xfId="2306" xr:uid="{00000000-0005-0000-0000-000008060000}"/>
    <cellStyle name="Percen - Style1_Анализ индикаторов на обесценение ИРРАО" xfId="2307" xr:uid="{00000000-0005-0000-0000-000009060000}"/>
    <cellStyle name="Percen - Style3" xfId="2308" xr:uid="{00000000-0005-0000-0000-00000A060000}"/>
    <cellStyle name="Percent %" xfId="2315" xr:uid="{00000000-0005-0000-0000-00000B060000}"/>
    <cellStyle name="Percent % 2" xfId="2316" xr:uid="{00000000-0005-0000-0000-00000C060000}"/>
    <cellStyle name="Percent % 3" xfId="2317" xr:uid="{00000000-0005-0000-0000-00000D060000}"/>
    <cellStyle name="Percent % Long Underline" xfId="2318" xr:uid="{00000000-0005-0000-0000-00000E060000}"/>
    <cellStyle name="Percent % Long Underline 2" xfId="2319" xr:uid="{00000000-0005-0000-0000-00000F060000}"/>
    <cellStyle name="Percent % Long Underline 3" xfId="2320" xr:uid="{00000000-0005-0000-0000-000010060000}"/>
    <cellStyle name="Percent (0)" xfId="2309" xr:uid="{00000000-0005-0000-0000-000011060000}"/>
    <cellStyle name="Percent (0) 2" xfId="2310" xr:uid="{00000000-0005-0000-0000-000012060000}"/>
    <cellStyle name="Percent (0) 3" xfId="2311" xr:uid="{00000000-0005-0000-0000-000013060000}"/>
    <cellStyle name="Percent [0]" xfId="2312" xr:uid="{00000000-0005-0000-0000-000014060000}"/>
    <cellStyle name="Percent [00]" xfId="2313" xr:uid="{00000000-0005-0000-0000-000015060000}"/>
    <cellStyle name="Percent [2]" xfId="2314" xr:uid="{00000000-0005-0000-0000-000016060000}"/>
    <cellStyle name="Percent 0.0%" xfId="2321" xr:uid="{00000000-0005-0000-0000-000017060000}"/>
    <cellStyle name="Percent 0.0% 2" xfId="2322" xr:uid="{00000000-0005-0000-0000-000018060000}"/>
    <cellStyle name="Percent 0.0% 3" xfId="2323" xr:uid="{00000000-0005-0000-0000-000019060000}"/>
    <cellStyle name="Percent 0.0% Long Underline" xfId="2324" xr:uid="{00000000-0005-0000-0000-00001A060000}"/>
    <cellStyle name="Percent 0.0% Long Underline 2" xfId="2325" xr:uid="{00000000-0005-0000-0000-00001B060000}"/>
    <cellStyle name="Percent 0.0% Long Underline 3" xfId="2326" xr:uid="{00000000-0005-0000-0000-00001C060000}"/>
    <cellStyle name="Percent 0.00%" xfId="2327" xr:uid="{00000000-0005-0000-0000-00001D060000}"/>
    <cellStyle name="Percent 0.00% 2" xfId="2328" xr:uid="{00000000-0005-0000-0000-00001E060000}"/>
    <cellStyle name="Percent 0.00% 3" xfId="2329" xr:uid="{00000000-0005-0000-0000-00001F060000}"/>
    <cellStyle name="Percent 0.00% Long Underline" xfId="2330" xr:uid="{00000000-0005-0000-0000-000020060000}"/>
    <cellStyle name="Percent 0.00% Long Underline 2" xfId="2331" xr:uid="{00000000-0005-0000-0000-000021060000}"/>
    <cellStyle name="Percent 0.00% Long Underline 3" xfId="2332" xr:uid="{00000000-0005-0000-0000-000022060000}"/>
    <cellStyle name="Percent 0.000%" xfId="2333" xr:uid="{00000000-0005-0000-0000-000023060000}"/>
    <cellStyle name="Percent 0.000% 2" xfId="2334" xr:uid="{00000000-0005-0000-0000-000024060000}"/>
    <cellStyle name="Percent 0.000% 3" xfId="2335" xr:uid="{00000000-0005-0000-0000-000025060000}"/>
    <cellStyle name="Percent 0.000% Long Underline" xfId="2336" xr:uid="{00000000-0005-0000-0000-000026060000}"/>
    <cellStyle name="Percent 0.000% Long Underline 2" xfId="2337" xr:uid="{00000000-0005-0000-0000-000027060000}"/>
    <cellStyle name="Percent 0.000% Long Underline 3" xfId="2338" xr:uid="{00000000-0005-0000-0000-000028060000}"/>
    <cellStyle name="Percent 10" xfId="2339" xr:uid="{00000000-0005-0000-0000-000029060000}"/>
    <cellStyle name="Percent 11" xfId="2340" xr:uid="{00000000-0005-0000-0000-00002A060000}"/>
    <cellStyle name="Percent 12" xfId="2341" xr:uid="{00000000-0005-0000-0000-00002B060000}"/>
    <cellStyle name="Percent 13" xfId="2342" xr:uid="{00000000-0005-0000-0000-00002C060000}"/>
    <cellStyle name="Percent 14" xfId="2343" xr:uid="{00000000-0005-0000-0000-00002D060000}"/>
    <cellStyle name="Percent 15" xfId="2344" xr:uid="{00000000-0005-0000-0000-00002E060000}"/>
    <cellStyle name="Percent 16" xfId="2345" xr:uid="{00000000-0005-0000-0000-00002F060000}"/>
    <cellStyle name="Percent 17" xfId="2346" xr:uid="{00000000-0005-0000-0000-000030060000}"/>
    <cellStyle name="Percent 18" xfId="2347" xr:uid="{00000000-0005-0000-0000-000031060000}"/>
    <cellStyle name="Percent 19" xfId="2348" xr:uid="{00000000-0005-0000-0000-000032060000}"/>
    <cellStyle name="Percent 2" xfId="2349" xr:uid="{00000000-0005-0000-0000-000033060000}"/>
    <cellStyle name="Percent 2 2" xfId="2350" xr:uid="{00000000-0005-0000-0000-000034060000}"/>
    <cellStyle name="Percent 2 3" xfId="2351" xr:uid="{00000000-0005-0000-0000-000035060000}"/>
    <cellStyle name="Percent 2 4" xfId="2352" xr:uid="{00000000-0005-0000-0000-000036060000}"/>
    <cellStyle name="Percent 20" xfId="2353" xr:uid="{00000000-0005-0000-0000-000037060000}"/>
    <cellStyle name="Percent 21" xfId="2354" xr:uid="{00000000-0005-0000-0000-000038060000}"/>
    <cellStyle name="Percent 22" xfId="2355" xr:uid="{00000000-0005-0000-0000-000039060000}"/>
    <cellStyle name="Percent 23" xfId="2356" xr:uid="{00000000-0005-0000-0000-00003A060000}"/>
    <cellStyle name="Percent 24" xfId="2357" xr:uid="{00000000-0005-0000-0000-00003B060000}"/>
    <cellStyle name="Percent 25" xfId="2358" xr:uid="{00000000-0005-0000-0000-00003C060000}"/>
    <cellStyle name="Percent 26" xfId="2359" xr:uid="{00000000-0005-0000-0000-00003D060000}"/>
    <cellStyle name="Percent 27" xfId="2360" xr:uid="{00000000-0005-0000-0000-00003E060000}"/>
    <cellStyle name="Percent 28" xfId="2361" xr:uid="{00000000-0005-0000-0000-00003F060000}"/>
    <cellStyle name="Percent 29" xfId="2362" xr:uid="{00000000-0005-0000-0000-000040060000}"/>
    <cellStyle name="Percent 3" xfId="2363" xr:uid="{00000000-0005-0000-0000-000041060000}"/>
    <cellStyle name="Percent 3 2" xfId="2364" xr:uid="{00000000-0005-0000-0000-000042060000}"/>
    <cellStyle name="Percent 30" xfId="2365" xr:uid="{00000000-0005-0000-0000-000043060000}"/>
    <cellStyle name="Percent 31" xfId="2366" xr:uid="{00000000-0005-0000-0000-000044060000}"/>
    <cellStyle name="Percent 32" xfId="2367" xr:uid="{00000000-0005-0000-0000-000045060000}"/>
    <cellStyle name="Percent 33" xfId="2368" xr:uid="{00000000-0005-0000-0000-000046060000}"/>
    <cellStyle name="Percent 34" xfId="2369" xr:uid="{00000000-0005-0000-0000-000047060000}"/>
    <cellStyle name="Percent 35" xfId="2370" xr:uid="{00000000-0005-0000-0000-000048060000}"/>
    <cellStyle name="Percent 36" xfId="2371" xr:uid="{00000000-0005-0000-0000-000049060000}"/>
    <cellStyle name="Percent 37" xfId="2372" xr:uid="{00000000-0005-0000-0000-00004A060000}"/>
    <cellStyle name="Percent 38" xfId="2373" xr:uid="{00000000-0005-0000-0000-00004B060000}"/>
    <cellStyle name="Percent 39" xfId="2374" xr:uid="{00000000-0005-0000-0000-00004C060000}"/>
    <cellStyle name="Percent 4" xfId="2375" xr:uid="{00000000-0005-0000-0000-00004D060000}"/>
    <cellStyle name="Percent 40" xfId="2376" xr:uid="{00000000-0005-0000-0000-00004E060000}"/>
    <cellStyle name="Percent 41" xfId="2377" xr:uid="{00000000-0005-0000-0000-00004F060000}"/>
    <cellStyle name="Percent 42" xfId="2378" xr:uid="{00000000-0005-0000-0000-000050060000}"/>
    <cellStyle name="Percent 43" xfId="2379" xr:uid="{00000000-0005-0000-0000-000051060000}"/>
    <cellStyle name="Percent 44" xfId="2380" xr:uid="{00000000-0005-0000-0000-000052060000}"/>
    <cellStyle name="Percent 45" xfId="2381" xr:uid="{00000000-0005-0000-0000-000053060000}"/>
    <cellStyle name="Percent 46" xfId="2382" xr:uid="{00000000-0005-0000-0000-000054060000}"/>
    <cellStyle name="Percent 47" xfId="2383" xr:uid="{00000000-0005-0000-0000-000055060000}"/>
    <cellStyle name="Percent 48" xfId="2384" xr:uid="{00000000-0005-0000-0000-000056060000}"/>
    <cellStyle name="Percent 49" xfId="2385" xr:uid="{00000000-0005-0000-0000-000057060000}"/>
    <cellStyle name="Percent 5" xfId="2386" xr:uid="{00000000-0005-0000-0000-000058060000}"/>
    <cellStyle name="Percent 50" xfId="2387" xr:uid="{00000000-0005-0000-0000-000059060000}"/>
    <cellStyle name="Percent 51" xfId="2388" xr:uid="{00000000-0005-0000-0000-00005A060000}"/>
    <cellStyle name="Percent 52" xfId="2389" xr:uid="{00000000-0005-0000-0000-00005B060000}"/>
    <cellStyle name="Percent 53" xfId="2390" xr:uid="{00000000-0005-0000-0000-00005C060000}"/>
    <cellStyle name="Percent 54" xfId="2391" xr:uid="{00000000-0005-0000-0000-00005D060000}"/>
    <cellStyle name="Percent 55" xfId="2392" xr:uid="{00000000-0005-0000-0000-00005E060000}"/>
    <cellStyle name="Percent 56" xfId="2393" xr:uid="{00000000-0005-0000-0000-00005F060000}"/>
    <cellStyle name="Percent 57" xfId="2394" xr:uid="{00000000-0005-0000-0000-000060060000}"/>
    <cellStyle name="Percent 58" xfId="2395" xr:uid="{00000000-0005-0000-0000-000061060000}"/>
    <cellStyle name="Percent 59" xfId="2396" xr:uid="{00000000-0005-0000-0000-000062060000}"/>
    <cellStyle name="Percent 6" xfId="2397" xr:uid="{00000000-0005-0000-0000-000063060000}"/>
    <cellStyle name="Percent 60" xfId="2398" xr:uid="{00000000-0005-0000-0000-000064060000}"/>
    <cellStyle name="Percent 61" xfId="2399" xr:uid="{00000000-0005-0000-0000-000065060000}"/>
    <cellStyle name="Percent 62" xfId="2400" xr:uid="{00000000-0005-0000-0000-000066060000}"/>
    <cellStyle name="Percent 63" xfId="2401" xr:uid="{00000000-0005-0000-0000-000067060000}"/>
    <cellStyle name="Percent 64" xfId="2402" xr:uid="{00000000-0005-0000-0000-000068060000}"/>
    <cellStyle name="Percent 65" xfId="2403" xr:uid="{00000000-0005-0000-0000-000069060000}"/>
    <cellStyle name="Percent 66" xfId="2404" xr:uid="{00000000-0005-0000-0000-00006A060000}"/>
    <cellStyle name="Percent 67" xfId="2405" xr:uid="{00000000-0005-0000-0000-00006B060000}"/>
    <cellStyle name="Percent 7" xfId="2406" xr:uid="{00000000-0005-0000-0000-00006C060000}"/>
    <cellStyle name="Percent 8" xfId="2407" xr:uid="{00000000-0005-0000-0000-00006D060000}"/>
    <cellStyle name="Percent 8 2" xfId="2408" xr:uid="{00000000-0005-0000-0000-00006E060000}"/>
    <cellStyle name="Percent 9" xfId="2409" xr:uid="{00000000-0005-0000-0000-00006F060000}"/>
    <cellStyle name="Percent1" xfId="2410" xr:uid="{00000000-0005-0000-0000-000070060000}"/>
    <cellStyle name="Periods" xfId="2411" xr:uid="{00000000-0005-0000-0000-000071060000}"/>
    <cellStyle name="Pevní" xfId="2412" xr:uid="{00000000-0005-0000-0000-000072060000}"/>
    <cellStyle name="PillarData" xfId="2413" xr:uid="{00000000-0005-0000-0000-000073060000}"/>
    <cellStyle name="PillarHeading" xfId="2414" xr:uid="{00000000-0005-0000-0000-000074060000}"/>
    <cellStyle name="PillarText" xfId="2415" xr:uid="{00000000-0005-0000-0000-000075060000}"/>
    <cellStyle name="PillarTotal" xfId="2416" xr:uid="{00000000-0005-0000-0000-000076060000}"/>
    <cellStyle name="Piug" xfId="2417" xr:uid="{00000000-0005-0000-0000-000077060000}"/>
    <cellStyle name="Plug" xfId="2418" xr:uid="{00000000-0005-0000-0000-000078060000}"/>
    <cellStyle name="Pourcentage_AME199  " xfId="2419" xr:uid="{00000000-0005-0000-0000-000079060000}"/>
    <cellStyle name="PrePop Currency (0)" xfId="2420" xr:uid="{00000000-0005-0000-0000-00007A060000}"/>
    <cellStyle name="PrePop Currency (2)" xfId="2421" xr:uid="{00000000-0005-0000-0000-00007B060000}"/>
    <cellStyle name="PrePop Units (0)" xfId="2422" xr:uid="{00000000-0005-0000-0000-00007C060000}"/>
    <cellStyle name="PrePop Units (1)" xfId="2423" xr:uid="{00000000-0005-0000-0000-00007D060000}"/>
    <cellStyle name="PrePop Units (2)" xfId="2424" xr:uid="{00000000-0005-0000-0000-00007E060000}"/>
    <cellStyle name="Price" xfId="2425" xr:uid="{00000000-0005-0000-0000-00007F060000}"/>
    <cellStyle name="Price 2" xfId="2426" xr:uid="{00000000-0005-0000-0000-000080060000}"/>
    <cellStyle name="Price 3" xfId="2427" xr:uid="{00000000-0005-0000-0000-000081060000}"/>
    <cellStyle name="Price 4" xfId="2428" xr:uid="{00000000-0005-0000-0000-000082060000}"/>
    <cellStyle name="Price 5" xfId="2429" xr:uid="{00000000-0005-0000-0000-000083060000}"/>
    <cellStyle name="Price 6" xfId="2430" xr:uid="{00000000-0005-0000-0000-000084060000}"/>
    <cellStyle name="Price_~9660252" xfId="2431" xr:uid="{00000000-0005-0000-0000-000085060000}"/>
    <cellStyle name="Procenta" xfId="2432" xr:uid="{00000000-0005-0000-0000-000086060000}"/>
    <cellStyle name="Pддotsikko" xfId="2299" xr:uid="{00000000-0005-0000-0000-000087060000}"/>
    <cellStyle name="Ratio" xfId="2433" xr:uid="{00000000-0005-0000-0000-000088060000}"/>
    <cellStyle name="ReadInData" xfId="2434" xr:uid="{00000000-0005-0000-0000-000089060000}"/>
    <cellStyle name="Reference" xfId="2435" xr:uid="{00000000-0005-0000-0000-00008A060000}"/>
    <cellStyle name="Reference 2" xfId="2436" xr:uid="{00000000-0005-0000-0000-00008B060000}"/>
    <cellStyle name="ReportNums" xfId="2437" xr:uid="{00000000-0005-0000-0000-00008C060000}"/>
    <cellStyle name="ReportNums 2" xfId="2438" xr:uid="{00000000-0005-0000-0000-00008D060000}"/>
    <cellStyle name="Salomon Logo" xfId="2439" xr:uid="{00000000-0005-0000-0000-00008E060000}"/>
    <cellStyle name="Salomon Logo 2" xfId="2440" xr:uid="{00000000-0005-0000-0000-00008F060000}"/>
    <cellStyle name="Salomon Logo 3" xfId="2441" xr:uid="{00000000-0005-0000-0000-000090060000}"/>
    <cellStyle name="SAPBEXaggData" xfId="2442" xr:uid="{00000000-0005-0000-0000-000091060000}"/>
    <cellStyle name="SAPBEXaggData 2" xfId="2443" xr:uid="{00000000-0005-0000-0000-000092060000}"/>
    <cellStyle name="SAPBEXaggDataEmph" xfId="2444" xr:uid="{00000000-0005-0000-0000-000093060000}"/>
    <cellStyle name="SAPBEXaggDataEmph 2" xfId="2445" xr:uid="{00000000-0005-0000-0000-000094060000}"/>
    <cellStyle name="SAPBEXaggItem" xfId="2446" xr:uid="{00000000-0005-0000-0000-000095060000}"/>
    <cellStyle name="SAPBEXaggItem 2" xfId="2447" xr:uid="{00000000-0005-0000-0000-000096060000}"/>
    <cellStyle name="SAPBEXaggItemX" xfId="2448" xr:uid="{00000000-0005-0000-0000-000097060000}"/>
    <cellStyle name="SAPBEXaggItemX 2" xfId="2449" xr:uid="{00000000-0005-0000-0000-000098060000}"/>
    <cellStyle name="SAPBEXchaText" xfId="2450" xr:uid="{00000000-0005-0000-0000-000099060000}"/>
    <cellStyle name="SAPBEXchaText 2" xfId="2451" xr:uid="{00000000-0005-0000-0000-00009A060000}"/>
    <cellStyle name="SAPBEXchaText 2 2" xfId="2452" xr:uid="{00000000-0005-0000-0000-00009B060000}"/>
    <cellStyle name="SAPBEXchaText 3" xfId="2453" xr:uid="{00000000-0005-0000-0000-00009C060000}"/>
    <cellStyle name="SAPBEXchaText 3 2" xfId="2454" xr:uid="{00000000-0005-0000-0000-00009D060000}"/>
    <cellStyle name="SAPBEXchaText 4" xfId="2455" xr:uid="{00000000-0005-0000-0000-00009E060000}"/>
    <cellStyle name="SAPBEXchaText_Анализ индикаторов на обесценение ИРРАО" xfId="2456" xr:uid="{00000000-0005-0000-0000-00009F060000}"/>
    <cellStyle name="SAPBEXexcBad7" xfId="2457" xr:uid="{00000000-0005-0000-0000-0000A0060000}"/>
    <cellStyle name="SAPBEXexcBad7 2" xfId="2458" xr:uid="{00000000-0005-0000-0000-0000A1060000}"/>
    <cellStyle name="SAPBEXexcBad8" xfId="2459" xr:uid="{00000000-0005-0000-0000-0000A2060000}"/>
    <cellStyle name="SAPBEXexcBad8 2" xfId="2460" xr:uid="{00000000-0005-0000-0000-0000A3060000}"/>
    <cellStyle name="SAPBEXexcBad9" xfId="2461" xr:uid="{00000000-0005-0000-0000-0000A4060000}"/>
    <cellStyle name="SAPBEXexcBad9 2" xfId="2462" xr:uid="{00000000-0005-0000-0000-0000A5060000}"/>
    <cellStyle name="SAPBEXexcCritical4" xfId="2463" xr:uid="{00000000-0005-0000-0000-0000A6060000}"/>
    <cellStyle name="SAPBEXexcCritical4 2" xfId="2464" xr:uid="{00000000-0005-0000-0000-0000A7060000}"/>
    <cellStyle name="SAPBEXexcCritical5" xfId="2465" xr:uid="{00000000-0005-0000-0000-0000A8060000}"/>
    <cellStyle name="SAPBEXexcCritical5 2" xfId="2466" xr:uid="{00000000-0005-0000-0000-0000A9060000}"/>
    <cellStyle name="SAPBEXexcCritical6" xfId="2467" xr:uid="{00000000-0005-0000-0000-0000AA060000}"/>
    <cellStyle name="SAPBEXexcCritical6 2" xfId="2468" xr:uid="{00000000-0005-0000-0000-0000AB060000}"/>
    <cellStyle name="SAPBEXexcGood1" xfId="2469" xr:uid="{00000000-0005-0000-0000-0000AC060000}"/>
    <cellStyle name="SAPBEXexcGood1 2" xfId="2470" xr:uid="{00000000-0005-0000-0000-0000AD060000}"/>
    <cellStyle name="SAPBEXexcGood2" xfId="2471" xr:uid="{00000000-0005-0000-0000-0000AE060000}"/>
    <cellStyle name="SAPBEXexcGood2 2" xfId="2472" xr:uid="{00000000-0005-0000-0000-0000AF060000}"/>
    <cellStyle name="SAPBEXexcGood3" xfId="2473" xr:uid="{00000000-0005-0000-0000-0000B0060000}"/>
    <cellStyle name="SAPBEXexcGood3 2" xfId="2474" xr:uid="{00000000-0005-0000-0000-0000B1060000}"/>
    <cellStyle name="SAPBEXfilterDrill" xfId="2475" xr:uid="{00000000-0005-0000-0000-0000B2060000}"/>
    <cellStyle name="SAPBEXfilterDrill 2" xfId="2476" xr:uid="{00000000-0005-0000-0000-0000B3060000}"/>
    <cellStyle name="SAPBEXfilterItem" xfId="2477" xr:uid="{00000000-0005-0000-0000-0000B4060000}"/>
    <cellStyle name="SAPBEXfilterItem 2" xfId="2478" xr:uid="{00000000-0005-0000-0000-0000B5060000}"/>
    <cellStyle name="SAPBEXfilterText" xfId="2479" xr:uid="{00000000-0005-0000-0000-0000B6060000}"/>
    <cellStyle name="SAPBEXformats" xfId="2480" xr:uid="{00000000-0005-0000-0000-0000B7060000}"/>
    <cellStyle name="SAPBEXformats 2" xfId="2481" xr:uid="{00000000-0005-0000-0000-0000B8060000}"/>
    <cellStyle name="SAPBEXformats 2 2" xfId="2482" xr:uid="{00000000-0005-0000-0000-0000B9060000}"/>
    <cellStyle name="SAPBEXformats 3" xfId="2483" xr:uid="{00000000-0005-0000-0000-0000BA060000}"/>
    <cellStyle name="SAPBEXformats 3 2" xfId="2484" xr:uid="{00000000-0005-0000-0000-0000BB060000}"/>
    <cellStyle name="SAPBEXformats 4" xfId="2485" xr:uid="{00000000-0005-0000-0000-0000BC060000}"/>
    <cellStyle name="SAPBEXformats 5" xfId="2486" xr:uid="{00000000-0005-0000-0000-0000BD060000}"/>
    <cellStyle name="SAPBEXformats 5 2" xfId="2487" xr:uid="{00000000-0005-0000-0000-0000BE060000}"/>
    <cellStyle name="SAPBEXformats 6" xfId="2488" xr:uid="{00000000-0005-0000-0000-0000BF060000}"/>
    <cellStyle name="SAPBEXformats_Анализ индикаторов на обесценение ИРРАО" xfId="2489" xr:uid="{00000000-0005-0000-0000-0000C0060000}"/>
    <cellStyle name="SAPBEXheaderItem" xfId="2490" xr:uid="{00000000-0005-0000-0000-0000C1060000}"/>
    <cellStyle name="SAPBEXheaderItem 2" xfId="2491" xr:uid="{00000000-0005-0000-0000-0000C2060000}"/>
    <cellStyle name="SAPBEXheaderItem 2 2" xfId="2492" xr:uid="{00000000-0005-0000-0000-0000C3060000}"/>
    <cellStyle name="SAPBEXheaderItem 3" xfId="2493" xr:uid="{00000000-0005-0000-0000-0000C4060000}"/>
    <cellStyle name="SAPBEXheaderItem 3 2" xfId="2494" xr:uid="{00000000-0005-0000-0000-0000C5060000}"/>
    <cellStyle name="SAPBEXheaderItem 4" xfId="2495" xr:uid="{00000000-0005-0000-0000-0000C6060000}"/>
    <cellStyle name="SAPBEXheaderItem_Анализ индикаторов на обесценение ИРРАО" xfId="2496" xr:uid="{00000000-0005-0000-0000-0000C7060000}"/>
    <cellStyle name="SAPBEXheaderText" xfId="2497" xr:uid="{00000000-0005-0000-0000-0000C8060000}"/>
    <cellStyle name="SAPBEXheaderText 2" xfId="2498" xr:uid="{00000000-0005-0000-0000-0000C9060000}"/>
    <cellStyle name="SAPBEXheaderText 2 2" xfId="2499" xr:uid="{00000000-0005-0000-0000-0000CA060000}"/>
    <cellStyle name="SAPBEXheaderText 3" xfId="2500" xr:uid="{00000000-0005-0000-0000-0000CB060000}"/>
    <cellStyle name="SAPBEXheaderText 3 2" xfId="2501" xr:uid="{00000000-0005-0000-0000-0000CC060000}"/>
    <cellStyle name="SAPBEXheaderText 4" xfId="2502" xr:uid="{00000000-0005-0000-0000-0000CD060000}"/>
    <cellStyle name="SAPBEXheaderText_Анализ индикаторов на обесценение ИРРАО" xfId="2503" xr:uid="{00000000-0005-0000-0000-0000CE060000}"/>
    <cellStyle name="SAPBEXHLevel0" xfId="2504" xr:uid="{00000000-0005-0000-0000-0000CF060000}"/>
    <cellStyle name="SAPBEXHLevel0 2" xfId="2505" xr:uid="{00000000-0005-0000-0000-0000D0060000}"/>
    <cellStyle name="SAPBEXHLevel0 2 2" xfId="2506" xr:uid="{00000000-0005-0000-0000-0000D1060000}"/>
    <cellStyle name="SAPBEXHLevel0 3" xfId="2507" xr:uid="{00000000-0005-0000-0000-0000D2060000}"/>
    <cellStyle name="SAPBEXHLevel0 3 2" xfId="2508" xr:uid="{00000000-0005-0000-0000-0000D3060000}"/>
    <cellStyle name="SAPBEXHLevel0 4" xfId="2509" xr:uid="{00000000-0005-0000-0000-0000D4060000}"/>
    <cellStyle name="SAPBEXHLevel0_Анализ индикаторов на обесценение ИРРАО" xfId="2510" xr:uid="{00000000-0005-0000-0000-0000D5060000}"/>
    <cellStyle name="SAPBEXHLevel0X" xfId="2511" xr:uid="{00000000-0005-0000-0000-0000D6060000}"/>
    <cellStyle name="SAPBEXHLevel0X 2" xfId="2512" xr:uid="{00000000-0005-0000-0000-0000D7060000}"/>
    <cellStyle name="SAPBEXHLevel0X 2 2" xfId="2513" xr:uid="{00000000-0005-0000-0000-0000D8060000}"/>
    <cellStyle name="SAPBEXHLevel0X 3" xfId="2514" xr:uid="{00000000-0005-0000-0000-0000D9060000}"/>
    <cellStyle name="SAPBEXHLevel0X 3 2" xfId="2515" xr:uid="{00000000-0005-0000-0000-0000DA060000}"/>
    <cellStyle name="SAPBEXHLevel0X 4" xfId="2516" xr:uid="{00000000-0005-0000-0000-0000DB060000}"/>
    <cellStyle name="SAPBEXHLevel0X_Анализ индикаторов на обесценение ИРРАО" xfId="2517" xr:uid="{00000000-0005-0000-0000-0000DC060000}"/>
    <cellStyle name="SAPBEXHLevel1" xfId="2518" xr:uid="{00000000-0005-0000-0000-0000DD060000}"/>
    <cellStyle name="SAPBEXHLevel1 2" xfId="2519" xr:uid="{00000000-0005-0000-0000-0000DE060000}"/>
    <cellStyle name="SAPBEXHLevel1 2 2" xfId="2520" xr:uid="{00000000-0005-0000-0000-0000DF060000}"/>
    <cellStyle name="SAPBEXHLevel1 3" xfId="2521" xr:uid="{00000000-0005-0000-0000-0000E0060000}"/>
    <cellStyle name="SAPBEXHLevel1 3 2" xfId="2522" xr:uid="{00000000-0005-0000-0000-0000E1060000}"/>
    <cellStyle name="SAPBEXHLevel1 4" xfId="2523" xr:uid="{00000000-0005-0000-0000-0000E2060000}"/>
    <cellStyle name="SAPBEXHLevel1 5" xfId="2524" xr:uid="{00000000-0005-0000-0000-0000E3060000}"/>
    <cellStyle name="SAPBEXHLevel1_Анализ индикаторов на обесценение ИРРАО" xfId="2525" xr:uid="{00000000-0005-0000-0000-0000E4060000}"/>
    <cellStyle name="SAPBEXHLevel1X" xfId="2526" xr:uid="{00000000-0005-0000-0000-0000E5060000}"/>
    <cellStyle name="SAPBEXHLevel1X 2" xfId="2527" xr:uid="{00000000-0005-0000-0000-0000E6060000}"/>
    <cellStyle name="SAPBEXHLevel1X 2 2" xfId="2528" xr:uid="{00000000-0005-0000-0000-0000E7060000}"/>
    <cellStyle name="SAPBEXHLevel1X 3" xfId="2529" xr:uid="{00000000-0005-0000-0000-0000E8060000}"/>
    <cellStyle name="SAPBEXHLevel1X 3 2" xfId="2530" xr:uid="{00000000-0005-0000-0000-0000E9060000}"/>
    <cellStyle name="SAPBEXHLevel1X 4" xfId="2531" xr:uid="{00000000-0005-0000-0000-0000EA060000}"/>
    <cellStyle name="SAPBEXHLevel1X_Анализ индикаторов на обесценение ИРРАО" xfId="2532" xr:uid="{00000000-0005-0000-0000-0000EB060000}"/>
    <cellStyle name="SAPBEXHLevel2" xfId="2533" xr:uid="{00000000-0005-0000-0000-0000EC060000}"/>
    <cellStyle name="SAPBEXHLevel2 2" xfId="2534" xr:uid="{00000000-0005-0000-0000-0000ED060000}"/>
    <cellStyle name="SAPBEXHLevel2X" xfId="2535" xr:uid="{00000000-0005-0000-0000-0000EE060000}"/>
    <cellStyle name="SAPBEXHLevel2X 2" xfId="2536" xr:uid="{00000000-0005-0000-0000-0000EF060000}"/>
    <cellStyle name="SAPBEXHLevel2X 2 2" xfId="2537" xr:uid="{00000000-0005-0000-0000-0000F0060000}"/>
    <cellStyle name="SAPBEXHLevel2X 3" xfId="2538" xr:uid="{00000000-0005-0000-0000-0000F1060000}"/>
    <cellStyle name="SAPBEXHLevel2X 3 2" xfId="2539" xr:uid="{00000000-0005-0000-0000-0000F2060000}"/>
    <cellStyle name="SAPBEXHLevel2X 4" xfId="2540" xr:uid="{00000000-0005-0000-0000-0000F3060000}"/>
    <cellStyle name="SAPBEXHLevel2X_Анализ индикаторов на обесценение ИРРАО" xfId="2541" xr:uid="{00000000-0005-0000-0000-0000F4060000}"/>
    <cellStyle name="SAPBEXHLevel3" xfId="2542" xr:uid="{00000000-0005-0000-0000-0000F5060000}"/>
    <cellStyle name="SAPBEXHLevel3 2" xfId="2543" xr:uid="{00000000-0005-0000-0000-0000F6060000}"/>
    <cellStyle name="SAPBEXHLevel3 2 2" xfId="2544" xr:uid="{00000000-0005-0000-0000-0000F7060000}"/>
    <cellStyle name="SAPBEXHLevel3 3" xfId="2545" xr:uid="{00000000-0005-0000-0000-0000F8060000}"/>
    <cellStyle name="SAPBEXHLevel3 3 2" xfId="2546" xr:uid="{00000000-0005-0000-0000-0000F9060000}"/>
    <cellStyle name="SAPBEXHLevel3 4" xfId="2547" xr:uid="{00000000-0005-0000-0000-0000FA060000}"/>
    <cellStyle name="SAPBEXHLevel3_Анализ индикаторов на обесценение ИРРАО" xfId="2548" xr:uid="{00000000-0005-0000-0000-0000FB060000}"/>
    <cellStyle name="SAPBEXHLevel3X" xfId="2549" xr:uid="{00000000-0005-0000-0000-0000FC060000}"/>
    <cellStyle name="SAPBEXHLevel3X 2" xfId="2550" xr:uid="{00000000-0005-0000-0000-0000FD060000}"/>
    <cellStyle name="SAPBEXHLevel3X 2 2" xfId="2551" xr:uid="{00000000-0005-0000-0000-0000FE060000}"/>
    <cellStyle name="SAPBEXHLevel3X 3" xfId="2552" xr:uid="{00000000-0005-0000-0000-0000FF060000}"/>
    <cellStyle name="SAPBEXHLevel3X 3 2" xfId="2553" xr:uid="{00000000-0005-0000-0000-000000070000}"/>
    <cellStyle name="SAPBEXHLevel3X 4" xfId="2554" xr:uid="{00000000-0005-0000-0000-000001070000}"/>
    <cellStyle name="SAPBEXHLevel3X_Анализ индикаторов на обесценение ИРРАО" xfId="2555" xr:uid="{00000000-0005-0000-0000-000002070000}"/>
    <cellStyle name="SAPBEXresData" xfId="2556" xr:uid="{00000000-0005-0000-0000-000003070000}"/>
    <cellStyle name="SAPBEXresData 2" xfId="2557" xr:uid="{00000000-0005-0000-0000-000004070000}"/>
    <cellStyle name="SAPBEXresDataEmph" xfId="2558" xr:uid="{00000000-0005-0000-0000-000005070000}"/>
    <cellStyle name="SAPBEXresDataEmph 2" xfId="2559" xr:uid="{00000000-0005-0000-0000-000006070000}"/>
    <cellStyle name="SAPBEXresItem" xfId="2560" xr:uid="{00000000-0005-0000-0000-000007070000}"/>
    <cellStyle name="SAPBEXresItem 2" xfId="2561" xr:uid="{00000000-0005-0000-0000-000008070000}"/>
    <cellStyle name="SAPBEXresItemX" xfId="2562" xr:uid="{00000000-0005-0000-0000-000009070000}"/>
    <cellStyle name="SAPBEXresItemX 2" xfId="2563" xr:uid="{00000000-0005-0000-0000-00000A070000}"/>
    <cellStyle name="SAPBEXstdData" xfId="2564" xr:uid="{00000000-0005-0000-0000-00000B070000}"/>
    <cellStyle name="SAPBEXstdData 2" xfId="2565" xr:uid="{00000000-0005-0000-0000-00000C070000}"/>
    <cellStyle name="SAPBEXstdData 3" xfId="2566" xr:uid="{00000000-0005-0000-0000-00000D070000}"/>
    <cellStyle name="SAPBEXstdDataEmph" xfId="2567" xr:uid="{00000000-0005-0000-0000-00000E070000}"/>
    <cellStyle name="SAPBEXstdDataEmph 2" xfId="2568" xr:uid="{00000000-0005-0000-0000-00000F070000}"/>
    <cellStyle name="SAPBEXstdItem" xfId="2569" xr:uid="{00000000-0005-0000-0000-000010070000}"/>
    <cellStyle name="SAPBEXstdItem 2" xfId="2570" xr:uid="{00000000-0005-0000-0000-000011070000}"/>
    <cellStyle name="SAPBEXstdItem 2 2" xfId="2571" xr:uid="{00000000-0005-0000-0000-000012070000}"/>
    <cellStyle name="SAPBEXstdItem 3" xfId="2572" xr:uid="{00000000-0005-0000-0000-000013070000}"/>
    <cellStyle name="SAPBEXstdItem 3 2" xfId="2573" xr:uid="{00000000-0005-0000-0000-000014070000}"/>
    <cellStyle name="SAPBEXstdItem 4" xfId="2574" xr:uid="{00000000-0005-0000-0000-000015070000}"/>
    <cellStyle name="SAPBEXstdItem 5" xfId="2575" xr:uid="{00000000-0005-0000-0000-000016070000}"/>
    <cellStyle name="SAPBEXstdItem 5 2" xfId="2576" xr:uid="{00000000-0005-0000-0000-000017070000}"/>
    <cellStyle name="SAPBEXstdItem 6" xfId="2577" xr:uid="{00000000-0005-0000-0000-000018070000}"/>
    <cellStyle name="SAPBEXstdItem_Анализ индикаторов на обесценение ИРРАО" xfId="2578" xr:uid="{00000000-0005-0000-0000-000019070000}"/>
    <cellStyle name="SAPBEXstdItemX" xfId="2579" xr:uid="{00000000-0005-0000-0000-00001A070000}"/>
    <cellStyle name="SAPBEXstdItemX 2" xfId="2580" xr:uid="{00000000-0005-0000-0000-00001B070000}"/>
    <cellStyle name="SAPBEXstdItemX 2 2" xfId="2581" xr:uid="{00000000-0005-0000-0000-00001C070000}"/>
    <cellStyle name="SAPBEXstdItemX 3" xfId="2582" xr:uid="{00000000-0005-0000-0000-00001D070000}"/>
    <cellStyle name="SAPBEXstdItemX 3 2" xfId="2583" xr:uid="{00000000-0005-0000-0000-00001E070000}"/>
    <cellStyle name="SAPBEXstdItemX 4" xfId="2584" xr:uid="{00000000-0005-0000-0000-00001F070000}"/>
    <cellStyle name="SAPBEXstdItemX_Анализ индикаторов на обесценение ИРРАО" xfId="2585" xr:uid="{00000000-0005-0000-0000-000020070000}"/>
    <cellStyle name="SAPBEXtitle" xfId="2586" xr:uid="{00000000-0005-0000-0000-000021070000}"/>
    <cellStyle name="SAPBEXundefined" xfId="2587" xr:uid="{00000000-0005-0000-0000-000022070000}"/>
    <cellStyle name="SAPBEXundefined 2" xfId="2588" xr:uid="{00000000-0005-0000-0000-000023070000}"/>
    <cellStyle name="Sbox" xfId="2589" xr:uid="{00000000-0005-0000-0000-000024070000}"/>
    <cellStyle name="Sbox 2" xfId="2590" xr:uid="{00000000-0005-0000-0000-000025070000}"/>
    <cellStyle name="Scenario" xfId="2591" xr:uid="{00000000-0005-0000-0000-000026070000}"/>
    <cellStyle name="Scenario 1" xfId="2592" xr:uid="{00000000-0005-0000-0000-000027070000}"/>
    <cellStyle name="Scenario box" xfId="2593" xr:uid="{00000000-0005-0000-0000-000028070000}"/>
    <cellStyle name="Scenario box 2" xfId="2594" xr:uid="{00000000-0005-0000-0000-000029070000}"/>
    <cellStyle name="scenario_20090317_MUSE_Final_DRAFT" xfId="2595" xr:uid="{00000000-0005-0000-0000-00002A070000}"/>
    <cellStyle name="Scenarios" xfId="2596" xr:uid="{00000000-0005-0000-0000-00002B070000}"/>
    <cellStyle name="SectionHeaderNormal" xfId="2597" xr:uid="{00000000-0005-0000-0000-00002C070000}"/>
    <cellStyle name="Sheet Title" xfId="2598" xr:uid="{00000000-0005-0000-0000-00002D070000}"/>
    <cellStyle name="SingleLineAcctgn" xfId="2599" xr:uid="{00000000-0005-0000-0000-00002E070000}"/>
    <cellStyle name="SingleLineAcctgn 2" xfId="2600" xr:uid="{00000000-0005-0000-0000-00002F070000}"/>
    <cellStyle name="SingleLinePercent" xfId="2601" xr:uid="{00000000-0005-0000-0000-000030070000}"/>
    <cellStyle name="small" xfId="2602" xr:uid="{00000000-0005-0000-0000-000031070000}"/>
    <cellStyle name="STANDARD" xfId="2603" xr:uid="{00000000-0005-0000-0000-000032070000}"/>
    <cellStyle name="STANDARD 2" xfId="2604" xr:uid="{00000000-0005-0000-0000-000033070000}"/>
    <cellStyle name="Style 1" xfId="2605" xr:uid="{00000000-0005-0000-0000-000034070000}"/>
    <cellStyle name="Style 1 2" xfId="2606" xr:uid="{00000000-0005-0000-0000-000035070000}"/>
    <cellStyle name="Style 10" xfId="2607" xr:uid="{00000000-0005-0000-0000-000036070000}"/>
    <cellStyle name="Style 11" xfId="2608" xr:uid="{00000000-0005-0000-0000-000037070000}"/>
    <cellStyle name="Style 12" xfId="2609" xr:uid="{00000000-0005-0000-0000-000038070000}"/>
    <cellStyle name="Style 13" xfId="2610" xr:uid="{00000000-0005-0000-0000-000039070000}"/>
    <cellStyle name="Style 14" xfId="2611" xr:uid="{00000000-0005-0000-0000-00003A070000}"/>
    <cellStyle name="Style 15" xfId="2612" xr:uid="{00000000-0005-0000-0000-00003B070000}"/>
    <cellStyle name="Style 16" xfId="2613" xr:uid="{00000000-0005-0000-0000-00003C070000}"/>
    <cellStyle name="Style 17" xfId="2614" xr:uid="{00000000-0005-0000-0000-00003D070000}"/>
    <cellStyle name="Style 18" xfId="2615" xr:uid="{00000000-0005-0000-0000-00003E070000}"/>
    <cellStyle name="Style 2" xfId="2616" xr:uid="{00000000-0005-0000-0000-00003F070000}"/>
    <cellStyle name="Style 3" xfId="2617" xr:uid="{00000000-0005-0000-0000-000040070000}"/>
    <cellStyle name="Style 4" xfId="2618" xr:uid="{00000000-0005-0000-0000-000041070000}"/>
    <cellStyle name="Style 5" xfId="2619" xr:uid="{00000000-0005-0000-0000-000042070000}"/>
    <cellStyle name="Style 6" xfId="2620" xr:uid="{00000000-0005-0000-0000-000043070000}"/>
    <cellStyle name="Style 7" xfId="2621" xr:uid="{00000000-0005-0000-0000-000044070000}"/>
    <cellStyle name="Style 8" xfId="2622" xr:uid="{00000000-0005-0000-0000-000045070000}"/>
    <cellStyle name="Style 9" xfId="2623" xr:uid="{00000000-0005-0000-0000-000046070000}"/>
    <cellStyle name="STYLE1 - Style1" xfId="2624" xr:uid="{00000000-0005-0000-0000-000047070000}"/>
    <cellStyle name="SubScript" xfId="2625" xr:uid="{00000000-0005-0000-0000-000048070000}"/>
    <cellStyle name="Subtotal" xfId="2626" xr:uid="{00000000-0005-0000-0000-000049070000}"/>
    <cellStyle name="Summe" xfId="2627" xr:uid="{00000000-0005-0000-0000-00004A070000}"/>
    <cellStyle name="SuperScript" xfId="2628" xr:uid="{00000000-0005-0000-0000-00004B070000}"/>
    <cellStyle name="T1" xfId="2629" xr:uid="{00000000-0005-0000-0000-00004C070000}"/>
    <cellStyle name="T2" xfId="2630" xr:uid="{00000000-0005-0000-0000-00004D070000}"/>
    <cellStyle name="T2 '" xfId="2631" xr:uid="{00000000-0005-0000-0000-00004E070000}"/>
    <cellStyle name="T3" xfId="2632" xr:uid="{00000000-0005-0000-0000-00004F070000}"/>
    <cellStyle name="T3 '" xfId="2633" xr:uid="{00000000-0005-0000-0000-000050070000}"/>
    <cellStyle name="Table" xfId="2634" xr:uid="{00000000-0005-0000-0000-000051070000}"/>
    <cellStyle name="Table Head" xfId="2635" xr:uid="{00000000-0005-0000-0000-000052070000}"/>
    <cellStyle name="Table Head Aligned" xfId="2636" xr:uid="{00000000-0005-0000-0000-000053070000}"/>
    <cellStyle name="Table Head Blue" xfId="2637" xr:uid="{00000000-0005-0000-0000-000054070000}"/>
    <cellStyle name="Table Head Green" xfId="2638" xr:uid="{00000000-0005-0000-0000-000055070000}"/>
    <cellStyle name="Table Head_Val_Sum_Graph" xfId="2639" xr:uid="{00000000-0005-0000-0000-000056070000}"/>
    <cellStyle name="Table Heading" xfId="2640" xr:uid="{00000000-0005-0000-0000-000057070000}"/>
    <cellStyle name="Table Text" xfId="2641" xr:uid="{00000000-0005-0000-0000-000058070000}"/>
    <cellStyle name="Table Title" xfId="2642" xr:uid="{00000000-0005-0000-0000-000059070000}"/>
    <cellStyle name="Table Units" xfId="2643" xr:uid="{00000000-0005-0000-0000-00005A070000}"/>
    <cellStyle name="Table Units 2" xfId="2644" xr:uid="{00000000-0005-0000-0000-00005B070000}"/>
    <cellStyle name="Table_Header" xfId="2645" xr:uid="{00000000-0005-0000-0000-00005C070000}"/>
    <cellStyle name="tableField" xfId="2646" xr:uid="{00000000-0005-0000-0000-00005D070000}"/>
    <cellStyle name="test" xfId="2647" xr:uid="{00000000-0005-0000-0000-00005E070000}"/>
    <cellStyle name="Text" xfId="2648" xr:uid="{00000000-0005-0000-0000-00005F070000}"/>
    <cellStyle name="Text 1" xfId="2649" xr:uid="{00000000-0005-0000-0000-000060070000}"/>
    <cellStyle name="Text 2" xfId="2650" xr:uid="{00000000-0005-0000-0000-000061070000}"/>
    <cellStyle name="Text 3" xfId="2651" xr:uid="{00000000-0005-0000-0000-000062070000}"/>
    <cellStyle name="Text Head" xfId="2652" xr:uid="{00000000-0005-0000-0000-000063070000}"/>
    <cellStyle name="Text Head 1" xfId="2653" xr:uid="{00000000-0005-0000-0000-000064070000}"/>
    <cellStyle name="Text Indent A" xfId="2654" xr:uid="{00000000-0005-0000-0000-000065070000}"/>
    <cellStyle name="Text Indent B" xfId="2655" xr:uid="{00000000-0005-0000-0000-000066070000}"/>
    <cellStyle name="Text Indent C" xfId="2656" xr:uid="{00000000-0005-0000-0000-000067070000}"/>
    <cellStyle name="TextBold" xfId="2657" xr:uid="{00000000-0005-0000-0000-000068070000}"/>
    <cellStyle name="TextItalic" xfId="2658" xr:uid="{00000000-0005-0000-0000-000069070000}"/>
    <cellStyle name="TextNormal" xfId="2659" xr:uid="{00000000-0005-0000-0000-00006A070000}"/>
    <cellStyle name="Tickmark" xfId="2660" xr:uid="{00000000-0005-0000-0000-00006B070000}"/>
    <cellStyle name="Title" xfId="2661" xr:uid="{00000000-0005-0000-0000-00006C070000}"/>
    <cellStyle name="Title 2" xfId="2662" xr:uid="{00000000-0005-0000-0000-00006D070000}"/>
    <cellStyle name="Title 3" xfId="2663" xr:uid="{00000000-0005-0000-0000-00006E070000}"/>
    <cellStyle name="Title_Анализ индикаторов на обесценение ИРРАО" xfId="2664" xr:uid="{00000000-0005-0000-0000-00006F070000}"/>
    <cellStyle name="TitleNormal" xfId="2665" xr:uid="{00000000-0005-0000-0000-000070070000}"/>
    <cellStyle name="To" xfId="2666" xr:uid="{00000000-0005-0000-0000-000071070000}"/>
    <cellStyle name="TopGrey" xfId="2667" xr:uid="{00000000-0005-0000-0000-000072070000}"/>
    <cellStyle name="Total" xfId="2668" xr:uid="{00000000-0005-0000-0000-000073070000}"/>
    <cellStyle name="Total 2" xfId="2669" xr:uid="{00000000-0005-0000-0000-000074070000}"/>
    <cellStyle name="Total 3" xfId="2670" xr:uid="{00000000-0005-0000-0000-000075070000}"/>
    <cellStyle name="Total 4" xfId="2671" xr:uid="{00000000-0005-0000-0000-000076070000}"/>
    <cellStyle name="total no bold" xfId="2672" xr:uid="{00000000-0005-0000-0000-000077070000}"/>
    <cellStyle name="total no bold 2" xfId="2673" xr:uid="{00000000-0005-0000-0000-000078070000}"/>
    <cellStyle name="Total_Анализ индикаторов на обесценение ИРРАО" xfId="2674" xr:uid="{00000000-0005-0000-0000-000079070000}"/>
    <cellStyle name="Total2 - Style2" xfId="2675" xr:uid="{00000000-0005-0000-0000-00007A070000}"/>
    <cellStyle name="TotalCurrency" xfId="2676" xr:uid="{00000000-0005-0000-0000-00007B070000}"/>
    <cellStyle name="totals_bold" xfId="2677" xr:uid="{00000000-0005-0000-0000-00007C070000}"/>
    <cellStyle name="UI Background" xfId="2678" xr:uid="{00000000-0005-0000-0000-00007D070000}"/>
    <cellStyle name="UIScreenText" xfId="2679" xr:uid="{00000000-0005-0000-0000-00007E070000}"/>
    <cellStyle name="Ujke,jq" xfId="2680" xr:uid="{00000000-0005-0000-0000-00007F070000}"/>
    <cellStyle name="Ujke,jq 2" xfId="2681" xr:uid="{00000000-0005-0000-0000-000080070000}"/>
    <cellStyle name="Ujke,jq 2 2" xfId="2682" xr:uid="{00000000-0005-0000-0000-000081070000}"/>
    <cellStyle name="Ujke,jq 2 3" xfId="2683" xr:uid="{00000000-0005-0000-0000-000082070000}"/>
    <cellStyle name="Undefiniert" xfId="2684" xr:uid="{00000000-0005-0000-0000-000083070000}"/>
    <cellStyle name="Undefiniert 2" xfId="2685" xr:uid="{00000000-0005-0000-0000-000084070000}"/>
    <cellStyle name="Undefiniert 3" xfId="2686" xr:uid="{00000000-0005-0000-0000-000085070000}"/>
    <cellStyle name="Undefiniert 4" xfId="2687" xr:uid="{00000000-0005-0000-0000-000086070000}"/>
    <cellStyle name="Undefiniert_Анализ индикаторов на обесценение ИРРАО" xfId="2688" xr:uid="{00000000-0005-0000-0000-000087070000}"/>
    <cellStyle name="Underline_Single" xfId="2689" xr:uid="{00000000-0005-0000-0000-000088070000}"/>
    <cellStyle name="Unit" xfId="2690" xr:uid="{00000000-0005-0000-0000-000089070000}"/>
    <cellStyle name="Unit 2" xfId="2691" xr:uid="{00000000-0005-0000-0000-00008A070000}"/>
    <cellStyle name="Unit 3" xfId="2692" xr:uid="{00000000-0005-0000-0000-00008B070000}"/>
    <cellStyle name="Unit_Анализ индикаторов на обесценение ИРРАО" xfId="2693" xr:uid="{00000000-0005-0000-0000-00008C070000}"/>
    <cellStyle name="ux" xfId="2694" xr:uid="{00000000-0005-0000-0000-00008D070000}"/>
    <cellStyle name="Val_date" xfId="2696" xr:uid="{00000000-0005-0000-0000-00008E070000}"/>
    <cellStyle name="Valiotsikko" xfId="2697" xr:uid="{00000000-0005-0000-0000-00008F070000}"/>
    <cellStyle name="Valuta (0)" xfId="2698" xr:uid="{00000000-0005-0000-0000-000090070000}"/>
    <cellStyle name="Valuta_Ita_01graf" xfId="2699" xr:uid="{00000000-0005-0000-0000-000091070000}"/>
    <cellStyle name="Variables" xfId="2700" xr:uid="{00000000-0005-0000-0000-000092070000}"/>
    <cellStyle name="vb-rynok" xfId="2701" xr:uid="{00000000-0005-0000-0000-000093070000}"/>
    <cellStyle name="Vertical" xfId="2702" xr:uid="{00000000-0005-0000-0000-000094070000}"/>
    <cellStyle name="Vertical 2" xfId="2703" xr:uid="{00000000-0005-0000-0000-000095070000}"/>
    <cellStyle name="Vertical 3" xfId="2704" xr:uid="{00000000-0005-0000-0000-000096070000}"/>
    <cellStyle name="Vertical 4" xfId="2705" xr:uid="{00000000-0005-0000-0000-000097070000}"/>
    <cellStyle name="Vertical 5" xfId="2706" xr:uid="{00000000-0005-0000-0000-000098070000}"/>
    <cellStyle name="Vertical_~9660252" xfId="2707" xr:uid="{00000000-0005-0000-0000-000099070000}"/>
    <cellStyle name="Vдliotsikko" xfId="2695" xr:uid="{00000000-0005-0000-0000-00009A070000}"/>
    <cellStyle name="Währung [0]_AX-3-4-Balance-Sheet-310899" xfId="2708" xr:uid="{00000000-0005-0000-0000-00009B070000}"/>
    <cellStyle name="Wahrung [0]_Bilanz" xfId="2709" xr:uid="{00000000-0005-0000-0000-00009C070000}"/>
    <cellStyle name="Währung [0]_laroux" xfId="2710" xr:uid="{00000000-0005-0000-0000-00009D070000}"/>
    <cellStyle name="Währung_AX-3-4-Balance-Sheet-310899" xfId="2711" xr:uid="{00000000-0005-0000-0000-00009E070000}"/>
    <cellStyle name="Wahrung_Bilanz" xfId="2712" xr:uid="{00000000-0005-0000-0000-00009F070000}"/>
    <cellStyle name="Währung_laroux" xfId="2713" xr:uid="{00000000-0005-0000-0000-0000A0070000}"/>
    <cellStyle name="Walutowy [0]_1" xfId="2714" xr:uid="{00000000-0005-0000-0000-0000A1070000}"/>
    <cellStyle name="Walutowy_1" xfId="2715" xr:uid="{00000000-0005-0000-0000-0000A2070000}"/>
    <cellStyle name="Warning Text" xfId="2716" xr:uid="{00000000-0005-0000-0000-0000A3070000}"/>
    <cellStyle name="Warning Text 2" xfId="2717" xr:uid="{00000000-0005-0000-0000-0000A4070000}"/>
    <cellStyle name="Warning Text_Полная модель Абхазия 31032011_bv" xfId="2718" xr:uid="{00000000-0005-0000-0000-0000A5070000}"/>
    <cellStyle name="WIP" xfId="2719" xr:uid="{00000000-0005-0000-0000-0000A6070000}"/>
    <cellStyle name="XComma" xfId="2720" xr:uid="{00000000-0005-0000-0000-0000A7070000}"/>
    <cellStyle name="XComma 0.0" xfId="2721" xr:uid="{00000000-0005-0000-0000-0000A8070000}"/>
    <cellStyle name="XComma 0.0 2" xfId="2722" xr:uid="{00000000-0005-0000-0000-0000A9070000}"/>
    <cellStyle name="XComma 0.0 3" xfId="2723" xr:uid="{00000000-0005-0000-0000-0000AA070000}"/>
    <cellStyle name="XComma 0.00" xfId="2724" xr:uid="{00000000-0005-0000-0000-0000AB070000}"/>
    <cellStyle name="XComma 0.00 2" xfId="2725" xr:uid="{00000000-0005-0000-0000-0000AC070000}"/>
    <cellStyle name="XComma 0.00 3" xfId="2726" xr:uid="{00000000-0005-0000-0000-0000AD070000}"/>
    <cellStyle name="XComma 0.000" xfId="2727" xr:uid="{00000000-0005-0000-0000-0000AE070000}"/>
    <cellStyle name="XComma 0.000 2" xfId="2728" xr:uid="{00000000-0005-0000-0000-0000AF070000}"/>
    <cellStyle name="XComma 0.000 3" xfId="2729" xr:uid="{00000000-0005-0000-0000-0000B0070000}"/>
    <cellStyle name="XComma 2" xfId="2730" xr:uid="{00000000-0005-0000-0000-0000B1070000}"/>
    <cellStyle name="XComma 3" xfId="2731" xr:uid="{00000000-0005-0000-0000-0000B2070000}"/>
    <cellStyle name="XCurrency" xfId="2732" xr:uid="{00000000-0005-0000-0000-0000B3070000}"/>
    <cellStyle name="XCurrency 0.0" xfId="2733" xr:uid="{00000000-0005-0000-0000-0000B4070000}"/>
    <cellStyle name="XCurrency 0.0 2" xfId="2734" xr:uid="{00000000-0005-0000-0000-0000B5070000}"/>
    <cellStyle name="XCurrency 0.0 3" xfId="2735" xr:uid="{00000000-0005-0000-0000-0000B6070000}"/>
    <cellStyle name="XCurrency 0.00" xfId="2736" xr:uid="{00000000-0005-0000-0000-0000B7070000}"/>
    <cellStyle name="XCurrency 0.00 2" xfId="2737" xr:uid="{00000000-0005-0000-0000-0000B8070000}"/>
    <cellStyle name="XCurrency 0.00 3" xfId="2738" xr:uid="{00000000-0005-0000-0000-0000B9070000}"/>
    <cellStyle name="XCurrency 0.000" xfId="2739" xr:uid="{00000000-0005-0000-0000-0000BA070000}"/>
    <cellStyle name="XCurrency 0.000 2" xfId="2740" xr:uid="{00000000-0005-0000-0000-0000BB070000}"/>
    <cellStyle name="XCurrency 0.000 3" xfId="2741" xr:uid="{00000000-0005-0000-0000-0000BC070000}"/>
    <cellStyle name="XCurrency 2" xfId="2742" xr:uid="{00000000-0005-0000-0000-0000BD070000}"/>
    <cellStyle name="XCurrency 3" xfId="2743" xr:uid="{00000000-0005-0000-0000-0000BE070000}"/>
    <cellStyle name="Year" xfId="2744" xr:uid="{00000000-0005-0000-0000-0000BF070000}"/>
    <cellStyle name="Year EN" xfId="2745" xr:uid="{00000000-0005-0000-0000-0000C0070000}"/>
    <cellStyle name="Year RU" xfId="2746" xr:uid="{00000000-0005-0000-0000-0000C1070000}"/>
    <cellStyle name="Years" xfId="2747" xr:uid="{00000000-0005-0000-0000-0000C2070000}"/>
    <cellStyle name="Zero" xfId="2748" xr:uid="{00000000-0005-0000-0000-0000C3070000}"/>
    <cellStyle name="Βασικό_Analyse Trimestrielle E0" xfId="2749" xr:uid="{00000000-0005-0000-0000-0000C4070000}"/>
    <cellStyle name="Акцент1 2" xfId="570" xr:uid="{00000000-0005-0000-0000-0000C5070000}"/>
    <cellStyle name="Акцент2 2" xfId="571" xr:uid="{00000000-0005-0000-0000-0000C6070000}"/>
    <cellStyle name="Акцент3 2" xfId="572" xr:uid="{00000000-0005-0000-0000-0000C7070000}"/>
    <cellStyle name="Акцент3 9 2" xfId="573" xr:uid="{00000000-0005-0000-0000-0000C8070000}"/>
    <cellStyle name="Акцент4 2" xfId="574" xr:uid="{00000000-0005-0000-0000-0000C9070000}"/>
    <cellStyle name="Акцент5 2" xfId="575" xr:uid="{00000000-0005-0000-0000-0000CA070000}"/>
    <cellStyle name="Акцент6 2" xfId="576" xr:uid="{00000000-0005-0000-0000-0000CB070000}"/>
    <cellStyle name="ащк" xfId="577" xr:uid="{00000000-0005-0000-0000-0000CC070000}"/>
    <cellStyle name="Беззащитный" xfId="578" xr:uid="{00000000-0005-0000-0000-0000CD070000}"/>
    <cellStyle name="вагоны" xfId="579" xr:uid="{00000000-0005-0000-0000-0000CE070000}"/>
    <cellStyle name="Ввод  2" xfId="580" xr:uid="{00000000-0005-0000-0000-0000CF070000}"/>
    <cellStyle name="Ввод  2 2" xfId="581" xr:uid="{00000000-0005-0000-0000-0000D0070000}"/>
    <cellStyle name="Ввод  3" xfId="582" xr:uid="{00000000-0005-0000-0000-0000D1070000}"/>
    <cellStyle name="Ввод  3 2" xfId="583" xr:uid="{00000000-0005-0000-0000-0000D2070000}"/>
    <cellStyle name="Верт. заголовок" xfId="584" xr:uid="{00000000-0005-0000-0000-0000D3070000}"/>
    <cellStyle name="Верх" xfId="585" xr:uid="{00000000-0005-0000-0000-0000D4070000}"/>
    <cellStyle name="Вес_продукта" xfId="586" xr:uid="{00000000-0005-0000-0000-0000D5070000}"/>
    <cellStyle name="Внебиржевой" xfId="587" xr:uid="{00000000-0005-0000-0000-0000D6070000}"/>
    <cellStyle name="Вывод 2" xfId="588" xr:uid="{00000000-0005-0000-0000-0000D7070000}"/>
    <cellStyle name="Вывод 2 2" xfId="589" xr:uid="{00000000-0005-0000-0000-0000D8070000}"/>
    <cellStyle name="Вычисление 2" xfId="590" xr:uid="{00000000-0005-0000-0000-0000D9070000}"/>
    <cellStyle name="Вычисление 2 2" xfId="591" xr:uid="{00000000-0005-0000-0000-0000DA070000}"/>
    <cellStyle name="Гиперссылка 2" xfId="592" xr:uid="{00000000-0005-0000-0000-0000DB070000}"/>
    <cellStyle name="Группа" xfId="593" xr:uid="{00000000-0005-0000-0000-0000DC070000}"/>
    <cellStyle name="Группа 0" xfId="594" xr:uid="{00000000-0005-0000-0000-0000DD070000}"/>
    <cellStyle name="Группа 0 2" xfId="595" xr:uid="{00000000-0005-0000-0000-0000DE070000}"/>
    <cellStyle name="Группа 1" xfId="596" xr:uid="{00000000-0005-0000-0000-0000DF070000}"/>
    <cellStyle name="Группа 1 2" xfId="597" xr:uid="{00000000-0005-0000-0000-0000E0070000}"/>
    <cellStyle name="Группа 2" xfId="598" xr:uid="{00000000-0005-0000-0000-0000E1070000}"/>
    <cellStyle name="Группа 2 2" xfId="599" xr:uid="{00000000-0005-0000-0000-0000E2070000}"/>
    <cellStyle name="Группа 3" xfId="600" xr:uid="{00000000-0005-0000-0000-0000E3070000}"/>
    <cellStyle name="Группа 3 2" xfId="601" xr:uid="{00000000-0005-0000-0000-0000E4070000}"/>
    <cellStyle name="Группа 4" xfId="602" xr:uid="{00000000-0005-0000-0000-0000E5070000}"/>
    <cellStyle name="Группа 4 2" xfId="603" xr:uid="{00000000-0005-0000-0000-0000E6070000}"/>
    <cellStyle name="Группа 5" xfId="604" xr:uid="{00000000-0005-0000-0000-0000E7070000}"/>
    <cellStyle name="Группа 5 2" xfId="605" xr:uid="{00000000-0005-0000-0000-0000E8070000}"/>
    <cellStyle name="Группа 6" xfId="606" xr:uid="{00000000-0005-0000-0000-0000E9070000}"/>
    <cellStyle name="Группа 6 2" xfId="607" xr:uid="{00000000-0005-0000-0000-0000EA070000}"/>
    <cellStyle name="Группа 7" xfId="608" xr:uid="{00000000-0005-0000-0000-0000EB070000}"/>
    <cellStyle name="Группа 7 2" xfId="609" xr:uid="{00000000-0005-0000-0000-0000EC070000}"/>
    <cellStyle name="Группа 8" xfId="610" xr:uid="{00000000-0005-0000-0000-0000ED070000}"/>
    <cellStyle name="Группа 8 2" xfId="611" xr:uid="{00000000-0005-0000-0000-0000EE070000}"/>
    <cellStyle name="Группа 9" xfId="612" xr:uid="{00000000-0005-0000-0000-0000EF070000}"/>
    <cellStyle name="Группа_" xfId="613" xr:uid="{00000000-0005-0000-0000-0000F0070000}"/>
    <cellStyle name="Группа0 0" xfId="614" xr:uid="{00000000-0005-0000-0000-0000F1070000}"/>
    <cellStyle name="Группа0 0 2" xfId="615" xr:uid="{00000000-0005-0000-0000-0000F2070000}"/>
    <cellStyle name="Группа0 1" xfId="616" xr:uid="{00000000-0005-0000-0000-0000F3070000}"/>
    <cellStyle name="Группа0 1 2" xfId="617" xr:uid="{00000000-0005-0000-0000-0000F4070000}"/>
    <cellStyle name="Группа0 2" xfId="618" xr:uid="{00000000-0005-0000-0000-0000F5070000}"/>
    <cellStyle name="Группа0 2 2" xfId="619" xr:uid="{00000000-0005-0000-0000-0000F6070000}"/>
    <cellStyle name="Дата" xfId="620" xr:uid="{00000000-0005-0000-0000-0000F7070000}"/>
    <cellStyle name="Дата UTL" xfId="621" xr:uid="{00000000-0005-0000-0000-0000F8070000}"/>
    <cellStyle name="Дата_Audit Com_9m05_2" xfId="622" xr:uid="{00000000-0005-0000-0000-0000F9070000}"/>
    <cellStyle name="Денежный 2" xfId="623" xr:uid="{00000000-0005-0000-0000-0000FA070000}"/>
    <cellStyle name="Денежный 2 2" xfId="624" xr:uid="{00000000-0005-0000-0000-0000FB070000}"/>
    <cellStyle name="Денежный 2 2 2" xfId="625" xr:uid="{00000000-0005-0000-0000-0000FC070000}"/>
    <cellStyle name="Денежный 2 2 2 2" xfId="626" xr:uid="{00000000-0005-0000-0000-0000FD070000}"/>
    <cellStyle name="Денежный 2 2 3" xfId="627" xr:uid="{00000000-0005-0000-0000-0000FE070000}"/>
    <cellStyle name="Денежный 3" xfId="628" xr:uid="{00000000-0005-0000-0000-0000FF070000}"/>
    <cellStyle name="Денежный 4" xfId="629" xr:uid="{00000000-0005-0000-0000-000000080000}"/>
    <cellStyle name="Денежный 4 2" xfId="630" xr:uid="{00000000-0005-0000-0000-000001080000}"/>
    <cellStyle name="Денежный 4 2 2" xfId="631" xr:uid="{00000000-0005-0000-0000-000002080000}"/>
    <cellStyle name="Денежный 4 3" xfId="632" xr:uid="{00000000-0005-0000-0000-000003080000}"/>
    <cellStyle name="Денежный 5" xfId="633" xr:uid="{00000000-0005-0000-0000-000004080000}"/>
    <cellStyle name="Денежный 5 2" xfId="634" xr:uid="{00000000-0005-0000-0000-000005080000}"/>
    <cellStyle name="Денежный 5 2 2" xfId="635" xr:uid="{00000000-0005-0000-0000-000006080000}"/>
    <cellStyle name="Денежный 5 3" xfId="636" xr:uid="{00000000-0005-0000-0000-000007080000}"/>
    <cellStyle name="Дштлув" xfId="637" xr:uid="{00000000-0005-0000-0000-000008080000}"/>
    <cellStyle name="ЄЄЄ_x0004_ЄЄ" xfId="638" xr:uid="{00000000-0005-0000-0000-000009080000}"/>
    <cellStyle name="Заголовок" xfId="639" xr:uid="{00000000-0005-0000-0000-00000A080000}"/>
    <cellStyle name="Заголовок 1 2" xfId="640" xr:uid="{00000000-0005-0000-0000-00000B080000}"/>
    <cellStyle name="Заголовок 1 3" xfId="641" xr:uid="{00000000-0005-0000-0000-00000C080000}"/>
    <cellStyle name="Заголовок 2 2" xfId="642" xr:uid="{00000000-0005-0000-0000-00000D080000}"/>
    <cellStyle name="Заголовок 2 3" xfId="643" xr:uid="{00000000-0005-0000-0000-00000E080000}"/>
    <cellStyle name="Заголовок 3 2" xfId="644" xr:uid="{00000000-0005-0000-0000-00000F080000}"/>
    <cellStyle name="Заголовок 3 3" xfId="645" xr:uid="{00000000-0005-0000-0000-000010080000}"/>
    <cellStyle name="Заголовок 4 2" xfId="646" xr:uid="{00000000-0005-0000-0000-000011080000}"/>
    <cellStyle name="Заголовок 5" xfId="647" xr:uid="{00000000-0005-0000-0000-000012080000}"/>
    <cellStyle name="ЗаголовокСтолбца" xfId="648" xr:uid="{00000000-0005-0000-0000-000013080000}"/>
    <cellStyle name="ЗаголовокСтолбца 2" xfId="649" xr:uid="{00000000-0005-0000-0000-000014080000}"/>
    <cellStyle name="ЗаголовокСтолбца 3" xfId="650" xr:uid="{00000000-0005-0000-0000-000015080000}"/>
    <cellStyle name="Защитный" xfId="651" xr:uid="{00000000-0005-0000-0000-000016080000}"/>
    <cellStyle name="Значение" xfId="652" xr:uid="{00000000-0005-0000-0000-000017080000}"/>
    <cellStyle name="Значение 2" xfId="653" xr:uid="{00000000-0005-0000-0000-000018080000}"/>
    <cellStyle name="Итог 2" xfId="654" xr:uid="{00000000-0005-0000-0000-000019080000}"/>
    <cellStyle name="Итог 2 2" xfId="655" xr:uid="{00000000-0005-0000-0000-00001A080000}"/>
    <cellStyle name="Итог 3" xfId="656" xr:uid="{00000000-0005-0000-0000-00001B080000}"/>
    <cellStyle name="Итог 3 2" xfId="657" xr:uid="{00000000-0005-0000-0000-00001C080000}"/>
    <cellStyle name="Итого" xfId="658" xr:uid="{00000000-0005-0000-0000-00001D080000}"/>
    <cellStyle name="Итого 2" xfId="659" xr:uid="{00000000-0005-0000-0000-00001E080000}"/>
    <cellStyle name="Количество" xfId="660" xr:uid="{00000000-0005-0000-0000-00001F080000}"/>
    <cellStyle name="Количество 2" xfId="661" xr:uid="{00000000-0005-0000-0000-000020080000}"/>
    <cellStyle name="Контрольная ячейка 2" xfId="662" xr:uid="{00000000-0005-0000-0000-000021080000}"/>
    <cellStyle name="Мои наименования показателей" xfId="663" xr:uid="{00000000-0005-0000-0000-000022080000}"/>
    <cellStyle name="Мой заголовок" xfId="664" xr:uid="{00000000-0005-0000-0000-000023080000}"/>
    <cellStyle name="Мой заголовок листа" xfId="665" xr:uid="{00000000-0005-0000-0000-000024080000}"/>
    <cellStyle name="Мой заголовок_06_CЗТЭЦ_ожид на 15.12" xfId="666" xr:uid="{00000000-0005-0000-0000-000025080000}"/>
    <cellStyle name="Название 2" xfId="667" xr:uid="{00000000-0005-0000-0000-000026080000}"/>
    <cellStyle name="Название 3" xfId="668" xr:uid="{00000000-0005-0000-0000-000027080000}"/>
    <cellStyle name="Невидимый" xfId="669" xr:uid="{00000000-0005-0000-0000-000028080000}"/>
    <cellStyle name="Нейтральный 2" xfId="670" xr:uid="{00000000-0005-0000-0000-000029080000}"/>
    <cellStyle name="Низ1" xfId="671" xr:uid="{00000000-0005-0000-0000-00002A080000}"/>
    <cellStyle name="Низ1 2" xfId="672" xr:uid="{00000000-0005-0000-0000-00002B080000}"/>
    <cellStyle name="Низ2" xfId="673" xr:uid="{00000000-0005-0000-0000-00002C080000}"/>
    <cellStyle name="Обычный" xfId="0" builtinId="0"/>
    <cellStyle name="Обычный 10" xfId="674" xr:uid="{00000000-0005-0000-0000-00002E080000}"/>
    <cellStyle name="Обычный 11" xfId="675" xr:uid="{00000000-0005-0000-0000-00002F080000}"/>
    <cellStyle name="Обычный 12" xfId="676" xr:uid="{00000000-0005-0000-0000-000030080000}"/>
    <cellStyle name="Обычный 12 2" xfId="677" xr:uid="{00000000-0005-0000-0000-000031080000}"/>
    <cellStyle name="Обычный 12 2 3" xfId="678" xr:uid="{00000000-0005-0000-0000-000032080000}"/>
    <cellStyle name="Обычный 13" xfId="679" xr:uid="{00000000-0005-0000-0000-000033080000}"/>
    <cellStyle name="Обычный 14" xfId="680" xr:uid="{00000000-0005-0000-0000-000034080000}"/>
    <cellStyle name="Обычный 15" xfId="681" xr:uid="{00000000-0005-0000-0000-000035080000}"/>
    <cellStyle name="Обычный 15 2" xfId="682" xr:uid="{00000000-0005-0000-0000-000036080000}"/>
    <cellStyle name="Обычный 15 2 2" xfId="683" xr:uid="{00000000-0005-0000-0000-000037080000}"/>
    <cellStyle name="Обычный 15 2 2 2" xfId="684" xr:uid="{00000000-0005-0000-0000-000038080000}"/>
    <cellStyle name="Обычный 15 2 3" xfId="685" xr:uid="{00000000-0005-0000-0000-000039080000}"/>
    <cellStyle name="Обычный 15 3" xfId="686" xr:uid="{00000000-0005-0000-0000-00003A080000}"/>
    <cellStyle name="Обычный 15 3 2" xfId="687" xr:uid="{00000000-0005-0000-0000-00003B080000}"/>
    <cellStyle name="Обычный 15 4" xfId="688" xr:uid="{00000000-0005-0000-0000-00003C080000}"/>
    <cellStyle name="Обычный 16" xfId="689" xr:uid="{00000000-0005-0000-0000-00003D080000}"/>
    <cellStyle name="Обычный 16 2" xfId="690" xr:uid="{00000000-0005-0000-0000-00003E080000}"/>
    <cellStyle name="Обычный 16 2 2" xfId="691" xr:uid="{00000000-0005-0000-0000-00003F080000}"/>
    <cellStyle name="Обычный 16 2 2 2" xfId="692" xr:uid="{00000000-0005-0000-0000-000040080000}"/>
    <cellStyle name="Обычный 16 2 3" xfId="693" xr:uid="{00000000-0005-0000-0000-000041080000}"/>
    <cellStyle name="Обычный 16 3" xfId="694" xr:uid="{00000000-0005-0000-0000-000042080000}"/>
    <cellStyle name="Обычный 16 3 2" xfId="695" xr:uid="{00000000-0005-0000-0000-000043080000}"/>
    <cellStyle name="Обычный 16 4" xfId="696" xr:uid="{00000000-0005-0000-0000-000044080000}"/>
    <cellStyle name="Обычный 17" xfId="697" xr:uid="{00000000-0005-0000-0000-000045080000}"/>
    <cellStyle name="Обычный 17 2" xfId="698" xr:uid="{00000000-0005-0000-0000-000046080000}"/>
    <cellStyle name="Обычный 17 2 2" xfId="699" xr:uid="{00000000-0005-0000-0000-000047080000}"/>
    <cellStyle name="Обычный 17 3" xfId="700" xr:uid="{00000000-0005-0000-0000-000048080000}"/>
    <cellStyle name="Обычный 18" xfId="701" xr:uid="{00000000-0005-0000-0000-000049080000}"/>
    <cellStyle name="Обычный 19" xfId="702" xr:uid="{00000000-0005-0000-0000-00004A080000}"/>
    <cellStyle name="Обычный 19 2" xfId="703" xr:uid="{00000000-0005-0000-0000-00004B080000}"/>
    <cellStyle name="Обычный 19 2 2" xfId="704" xr:uid="{00000000-0005-0000-0000-00004C080000}"/>
    <cellStyle name="Обычный 19 2 2 2" xfId="705" xr:uid="{00000000-0005-0000-0000-00004D080000}"/>
    <cellStyle name="Обычный 19 2 3" xfId="706" xr:uid="{00000000-0005-0000-0000-00004E080000}"/>
    <cellStyle name="Обычный 19 3" xfId="707" xr:uid="{00000000-0005-0000-0000-00004F080000}"/>
    <cellStyle name="Обычный 19 4" xfId="708" xr:uid="{00000000-0005-0000-0000-000050080000}"/>
    <cellStyle name="Обычный 19 4 2" xfId="709" xr:uid="{00000000-0005-0000-0000-000051080000}"/>
    <cellStyle name="Обычный 19 5" xfId="710" xr:uid="{00000000-0005-0000-0000-000052080000}"/>
    <cellStyle name="Обычный 2" xfId="711" xr:uid="{00000000-0005-0000-0000-000053080000}"/>
    <cellStyle name="Обычный 2 10" xfId="712" xr:uid="{00000000-0005-0000-0000-000054080000}"/>
    <cellStyle name="Обычный 2 11" xfId="713" xr:uid="{00000000-0005-0000-0000-000055080000}"/>
    <cellStyle name="Обычный 2 12" xfId="714" xr:uid="{00000000-0005-0000-0000-000056080000}"/>
    <cellStyle name="Обычный 2 13" xfId="715" xr:uid="{00000000-0005-0000-0000-000057080000}"/>
    <cellStyle name="Обычный 2 14" xfId="716" xr:uid="{00000000-0005-0000-0000-000058080000}"/>
    <cellStyle name="Обычный 2 15" xfId="717" xr:uid="{00000000-0005-0000-0000-000059080000}"/>
    <cellStyle name="Обычный 2 15 2" xfId="718" xr:uid="{00000000-0005-0000-0000-00005A080000}"/>
    <cellStyle name="Обычный 2 15 2 2" xfId="719" xr:uid="{00000000-0005-0000-0000-00005B080000}"/>
    <cellStyle name="Обычный 2 15 3" xfId="720" xr:uid="{00000000-0005-0000-0000-00005C080000}"/>
    <cellStyle name="Обычный 2 16" xfId="721" xr:uid="{00000000-0005-0000-0000-00005D080000}"/>
    <cellStyle name="Обычный 2 16 2" xfId="722" xr:uid="{00000000-0005-0000-0000-00005E080000}"/>
    <cellStyle name="Обычный 2 17" xfId="723" xr:uid="{00000000-0005-0000-0000-00005F080000}"/>
    <cellStyle name="Обычный 2 2" xfId="724" xr:uid="{00000000-0005-0000-0000-000060080000}"/>
    <cellStyle name="Обычный 2 2 10" xfId="725" xr:uid="{00000000-0005-0000-0000-000061080000}"/>
    <cellStyle name="Обычный 2 2 11" xfId="726" xr:uid="{00000000-0005-0000-0000-000062080000}"/>
    <cellStyle name="Обычный 2 2 12" xfId="727" xr:uid="{00000000-0005-0000-0000-000063080000}"/>
    <cellStyle name="Обычный 2 2 13" xfId="728" xr:uid="{00000000-0005-0000-0000-000064080000}"/>
    <cellStyle name="Обычный 2 2 13 2" xfId="729" xr:uid="{00000000-0005-0000-0000-000065080000}"/>
    <cellStyle name="Обычный 2 2 13 2 2" xfId="730" xr:uid="{00000000-0005-0000-0000-000066080000}"/>
    <cellStyle name="Обычный 2 2 13 3" xfId="731" xr:uid="{00000000-0005-0000-0000-000067080000}"/>
    <cellStyle name="Обычный 2 2 14" xfId="732" xr:uid="{00000000-0005-0000-0000-000068080000}"/>
    <cellStyle name="Обычный 2 2 15" xfId="733" xr:uid="{00000000-0005-0000-0000-000069080000}"/>
    <cellStyle name="Обычный 2 2 16" xfId="734" xr:uid="{00000000-0005-0000-0000-00006A080000}"/>
    <cellStyle name="Обычный 2 2 16 2" xfId="735" xr:uid="{00000000-0005-0000-0000-00006B080000}"/>
    <cellStyle name="Обычный 2 2 17" xfId="736" xr:uid="{00000000-0005-0000-0000-00006C080000}"/>
    <cellStyle name="Обычный 2 2 2" xfId="737" xr:uid="{00000000-0005-0000-0000-00006D080000}"/>
    <cellStyle name="Обычный 2 2 2 2" xfId="738" xr:uid="{00000000-0005-0000-0000-00006E080000}"/>
    <cellStyle name="Обычный 2 2 2 2 2" xfId="739" xr:uid="{00000000-0005-0000-0000-00006F080000}"/>
    <cellStyle name="Обычный 2 2 2 2 2 2" xfId="740" xr:uid="{00000000-0005-0000-0000-000070080000}"/>
    <cellStyle name="Обычный 2 2 2 2 3" xfId="741" xr:uid="{00000000-0005-0000-0000-000071080000}"/>
    <cellStyle name="Обычный 2 2 2 3" xfId="742" xr:uid="{00000000-0005-0000-0000-000072080000}"/>
    <cellStyle name="Обычный 2 2 2 3 2" xfId="743" xr:uid="{00000000-0005-0000-0000-000073080000}"/>
    <cellStyle name="Обычный 2 2 2 3 2 2" xfId="744" xr:uid="{00000000-0005-0000-0000-000074080000}"/>
    <cellStyle name="Обычный 2 2 2 3 3" xfId="745" xr:uid="{00000000-0005-0000-0000-000075080000}"/>
    <cellStyle name="Обычный 2 2 2 4" xfId="746" xr:uid="{00000000-0005-0000-0000-000076080000}"/>
    <cellStyle name="Обычный 2 2 2 5" xfId="747" xr:uid="{00000000-0005-0000-0000-000077080000}"/>
    <cellStyle name="Обычный 2 2 2 5 2" xfId="748" xr:uid="{00000000-0005-0000-0000-000078080000}"/>
    <cellStyle name="Обычный 2 2 2 6" xfId="749" xr:uid="{00000000-0005-0000-0000-000079080000}"/>
    <cellStyle name="Обычный 2 2 3" xfId="750" xr:uid="{00000000-0005-0000-0000-00007A080000}"/>
    <cellStyle name="Обычный 2 2 3 2" xfId="751" xr:uid="{00000000-0005-0000-0000-00007B080000}"/>
    <cellStyle name="Обычный 2 2 3 3" xfId="752" xr:uid="{00000000-0005-0000-0000-00007C080000}"/>
    <cellStyle name="Обычный 2 2 3 3 2" xfId="753" xr:uid="{00000000-0005-0000-0000-00007D080000}"/>
    <cellStyle name="Обычный 2 2 3 4" xfId="754" xr:uid="{00000000-0005-0000-0000-00007E080000}"/>
    <cellStyle name="Обычный 2 2 4" xfId="755" xr:uid="{00000000-0005-0000-0000-00007F080000}"/>
    <cellStyle name="Обычный 2 2 4 2" xfId="756" xr:uid="{00000000-0005-0000-0000-000080080000}"/>
    <cellStyle name="Обычный 2 2 4 3" xfId="757" xr:uid="{00000000-0005-0000-0000-000081080000}"/>
    <cellStyle name="Обычный 2 2 4 3 2" xfId="758" xr:uid="{00000000-0005-0000-0000-000082080000}"/>
    <cellStyle name="Обычный 2 2 4 4" xfId="759" xr:uid="{00000000-0005-0000-0000-000083080000}"/>
    <cellStyle name="Обычный 2 2 5" xfId="760" xr:uid="{00000000-0005-0000-0000-000084080000}"/>
    <cellStyle name="Обычный 2 2 6" xfId="761" xr:uid="{00000000-0005-0000-0000-000085080000}"/>
    <cellStyle name="Обычный 2 2 7" xfId="762" xr:uid="{00000000-0005-0000-0000-000086080000}"/>
    <cellStyle name="Обычный 2 2 8" xfId="763" xr:uid="{00000000-0005-0000-0000-000087080000}"/>
    <cellStyle name="Обычный 2 2 9" xfId="764" xr:uid="{00000000-0005-0000-0000-000088080000}"/>
    <cellStyle name="Обычный 2 3" xfId="765" xr:uid="{00000000-0005-0000-0000-000089080000}"/>
    <cellStyle name="Обычный 2 3 2" xfId="766" xr:uid="{00000000-0005-0000-0000-00008A080000}"/>
    <cellStyle name="Обычный 2 3 2 2" xfId="767" xr:uid="{00000000-0005-0000-0000-00008B080000}"/>
    <cellStyle name="Обычный 2 3 2 2 2" xfId="768" xr:uid="{00000000-0005-0000-0000-00008C080000}"/>
    <cellStyle name="Обычный 2 3 2 3" xfId="769" xr:uid="{00000000-0005-0000-0000-00008D080000}"/>
    <cellStyle name="Обычный 2 3 3" xfId="770" xr:uid="{00000000-0005-0000-0000-00008E080000}"/>
    <cellStyle name="Обычный 2 4" xfId="771" xr:uid="{00000000-0005-0000-0000-00008F080000}"/>
    <cellStyle name="Обычный 2 4 2" xfId="772" xr:uid="{00000000-0005-0000-0000-000090080000}"/>
    <cellStyle name="Обычный 2 4 2 2" xfId="773" xr:uid="{00000000-0005-0000-0000-000091080000}"/>
    <cellStyle name="Обычный 2 4 2 2 2" xfId="774" xr:uid="{00000000-0005-0000-0000-000092080000}"/>
    <cellStyle name="Обычный 2 4 2 3" xfId="775" xr:uid="{00000000-0005-0000-0000-000093080000}"/>
    <cellStyle name="Обычный 2 4 3" xfId="776" xr:uid="{00000000-0005-0000-0000-000094080000}"/>
    <cellStyle name="Обычный 2 4 3 2" xfId="777" xr:uid="{00000000-0005-0000-0000-000095080000}"/>
    <cellStyle name="Обычный 2 4 3 2 2" xfId="778" xr:uid="{00000000-0005-0000-0000-000096080000}"/>
    <cellStyle name="Обычный 2 4 3 3" xfId="779" xr:uid="{00000000-0005-0000-0000-000097080000}"/>
    <cellStyle name="Обычный 2 4 4" xfId="780" xr:uid="{00000000-0005-0000-0000-000098080000}"/>
    <cellStyle name="Обычный 2 4 5" xfId="781" xr:uid="{00000000-0005-0000-0000-000099080000}"/>
    <cellStyle name="Обычный 2 4 5 2" xfId="782" xr:uid="{00000000-0005-0000-0000-00009A080000}"/>
    <cellStyle name="Обычный 2 4 6" xfId="783" xr:uid="{00000000-0005-0000-0000-00009B080000}"/>
    <cellStyle name="Обычный 2 5" xfId="784" xr:uid="{00000000-0005-0000-0000-00009C080000}"/>
    <cellStyle name="Обычный 2 5 2" xfId="785" xr:uid="{00000000-0005-0000-0000-00009D080000}"/>
    <cellStyle name="Обычный 2 5 3" xfId="786" xr:uid="{00000000-0005-0000-0000-00009E080000}"/>
    <cellStyle name="Обычный 2 5 3 2" xfId="787" xr:uid="{00000000-0005-0000-0000-00009F080000}"/>
    <cellStyle name="Обычный 2 5 4" xfId="788" xr:uid="{00000000-0005-0000-0000-0000A0080000}"/>
    <cellStyle name="Обычный 2 6" xfId="789" xr:uid="{00000000-0005-0000-0000-0000A1080000}"/>
    <cellStyle name="Обычный 2 6 2" xfId="790" xr:uid="{00000000-0005-0000-0000-0000A2080000}"/>
    <cellStyle name="Обычный 2 7" xfId="791" xr:uid="{00000000-0005-0000-0000-0000A3080000}"/>
    <cellStyle name="Обычный 2 7 2" xfId="792" xr:uid="{00000000-0005-0000-0000-0000A4080000}"/>
    <cellStyle name="Обычный 2 7 3" xfId="793" xr:uid="{00000000-0005-0000-0000-0000A5080000}"/>
    <cellStyle name="Обычный 2 7 3 2" xfId="794" xr:uid="{00000000-0005-0000-0000-0000A6080000}"/>
    <cellStyle name="Обычный 2 7 4" xfId="795" xr:uid="{00000000-0005-0000-0000-0000A7080000}"/>
    <cellStyle name="Обычный 2 8" xfId="796" xr:uid="{00000000-0005-0000-0000-0000A8080000}"/>
    <cellStyle name="Обычный 2 9" xfId="797" xr:uid="{00000000-0005-0000-0000-0000A9080000}"/>
    <cellStyle name="Обычный 2_Scenario_Group_2011" xfId="798" xr:uid="{00000000-0005-0000-0000-0000AA080000}"/>
    <cellStyle name="Обычный 20" xfId="799" xr:uid="{00000000-0005-0000-0000-0000AB080000}"/>
    <cellStyle name="Обычный 20 2" xfId="800" xr:uid="{00000000-0005-0000-0000-0000AC080000}"/>
    <cellStyle name="Обычный 20 2 2" xfId="801" xr:uid="{00000000-0005-0000-0000-0000AD080000}"/>
    <cellStyle name="Обычный 20 3" xfId="802" xr:uid="{00000000-0005-0000-0000-0000AE080000}"/>
    <cellStyle name="Обычный 21" xfId="803" xr:uid="{00000000-0005-0000-0000-0000AF080000}"/>
    <cellStyle name="Обычный 21 2" xfId="804" xr:uid="{00000000-0005-0000-0000-0000B0080000}"/>
    <cellStyle name="Обычный 21 2 2" xfId="805" xr:uid="{00000000-0005-0000-0000-0000B1080000}"/>
    <cellStyle name="Обычный 21 3" xfId="806" xr:uid="{00000000-0005-0000-0000-0000B2080000}"/>
    <cellStyle name="Обычный 22" xfId="807" xr:uid="{00000000-0005-0000-0000-0000B3080000}"/>
    <cellStyle name="Обычный 22 2" xfId="808" xr:uid="{00000000-0005-0000-0000-0000B4080000}"/>
    <cellStyle name="Обычный 22 2 2" xfId="809" xr:uid="{00000000-0005-0000-0000-0000B5080000}"/>
    <cellStyle name="Обычный 22 3" xfId="810" xr:uid="{00000000-0005-0000-0000-0000B6080000}"/>
    <cellStyle name="Обычный 23" xfId="811" xr:uid="{00000000-0005-0000-0000-0000B7080000}"/>
    <cellStyle name="Обычный 23 2" xfId="812" xr:uid="{00000000-0005-0000-0000-0000B8080000}"/>
    <cellStyle name="Обычный 23 2 2" xfId="813" xr:uid="{00000000-0005-0000-0000-0000B9080000}"/>
    <cellStyle name="Обычный 23 3" xfId="814" xr:uid="{00000000-0005-0000-0000-0000BA080000}"/>
    <cellStyle name="Обычный 24" xfId="815" xr:uid="{00000000-0005-0000-0000-0000BB080000}"/>
    <cellStyle name="Обычный 24 2" xfId="816" xr:uid="{00000000-0005-0000-0000-0000BC080000}"/>
    <cellStyle name="Обычный 24 2 2" xfId="817" xr:uid="{00000000-0005-0000-0000-0000BD080000}"/>
    <cellStyle name="Обычный 24 3" xfId="818" xr:uid="{00000000-0005-0000-0000-0000BE080000}"/>
    <cellStyle name="Обычный 25" xfId="819" xr:uid="{00000000-0005-0000-0000-0000BF080000}"/>
    <cellStyle name="Обычный 25 2" xfId="820" xr:uid="{00000000-0005-0000-0000-0000C0080000}"/>
    <cellStyle name="Обычный 25 2 2" xfId="821" xr:uid="{00000000-0005-0000-0000-0000C1080000}"/>
    <cellStyle name="Обычный 25 3" xfId="822" xr:uid="{00000000-0005-0000-0000-0000C2080000}"/>
    <cellStyle name="Обычный 26" xfId="823" xr:uid="{00000000-0005-0000-0000-0000C3080000}"/>
    <cellStyle name="Обычный 26 2" xfId="824" xr:uid="{00000000-0005-0000-0000-0000C4080000}"/>
    <cellStyle name="Обычный 26 2 2" xfId="825" xr:uid="{00000000-0005-0000-0000-0000C5080000}"/>
    <cellStyle name="Обычный 26 3" xfId="826" xr:uid="{00000000-0005-0000-0000-0000C6080000}"/>
    <cellStyle name="Обычный 27" xfId="827" xr:uid="{00000000-0005-0000-0000-0000C7080000}"/>
    <cellStyle name="Обычный 27 10" xfId="828" xr:uid="{00000000-0005-0000-0000-0000C8080000}"/>
    <cellStyle name="Обычный 27 10 2" xfId="829" xr:uid="{00000000-0005-0000-0000-0000C9080000}"/>
    <cellStyle name="Обычный 27 10 2 2" xfId="830" xr:uid="{00000000-0005-0000-0000-0000CA080000}"/>
    <cellStyle name="Обычный 27 10 3" xfId="831" xr:uid="{00000000-0005-0000-0000-0000CB080000}"/>
    <cellStyle name="Обычный 27 2" xfId="832" xr:uid="{00000000-0005-0000-0000-0000CC080000}"/>
    <cellStyle name="Обычный 27 2 2" xfId="833" xr:uid="{00000000-0005-0000-0000-0000CD080000}"/>
    <cellStyle name="Обычный 27 3" xfId="834" xr:uid="{00000000-0005-0000-0000-0000CE080000}"/>
    <cellStyle name="Обычный 28" xfId="835" xr:uid="{00000000-0005-0000-0000-0000CF080000}"/>
    <cellStyle name="Обычный 28 2" xfId="836" xr:uid="{00000000-0005-0000-0000-0000D0080000}"/>
    <cellStyle name="Обычный 28 2 2" xfId="837" xr:uid="{00000000-0005-0000-0000-0000D1080000}"/>
    <cellStyle name="Обычный 28 3" xfId="838" xr:uid="{00000000-0005-0000-0000-0000D2080000}"/>
    <cellStyle name="Обычный 29" xfId="839" xr:uid="{00000000-0005-0000-0000-0000D3080000}"/>
    <cellStyle name="Обычный 29 2" xfId="840" xr:uid="{00000000-0005-0000-0000-0000D4080000}"/>
    <cellStyle name="Обычный 29 2 2" xfId="841" xr:uid="{00000000-0005-0000-0000-0000D5080000}"/>
    <cellStyle name="Обычный 29 2 2 2" xfId="842" xr:uid="{00000000-0005-0000-0000-0000D6080000}"/>
    <cellStyle name="Обычный 29 2 3" xfId="843" xr:uid="{00000000-0005-0000-0000-0000D7080000}"/>
    <cellStyle name="Обычный 29 3" xfId="844" xr:uid="{00000000-0005-0000-0000-0000D8080000}"/>
    <cellStyle name="Обычный 29 3 2" xfId="845" xr:uid="{00000000-0005-0000-0000-0000D9080000}"/>
    <cellStyle name="Обычный 29 4" xfId="846" xr:uid="{00000000-0005-0000-0000-0000DA080000}"/>
    <cellStyle name="Обычный 3" xfId="847" xr:uid="{00000000-0005-0000-0000-0000DB080000}"/>
    <cellStyle name="Обычный 3 10" xfId="848" xr:uid="{00000000-0005-0000-0000-0000DC080000}"/>
    <cellStyle name="Обычный 3 11" xfId="849" xr:uid="{00000000-0005-0000-0000-0000DD080000}"/>
    <cellStyle name="Обычный 3 12" xfId="850" xr:uid="{00000000-0005-0000-0000-0000DE080000}"/>
    <cellStyle name="Обычный 3 13" xfId="851" xr:uid="{00000000-0005-0000-0000-0000DF080000}"/>
    <cellStyle name="Обычный 3 14" xfId="852" xr:uid="{00000000-0005-0000-0000-0000E0080000}"/>
    <cellStyle name="Обычный 3 14 2" xfId="853" xr:uid="{00000000-0005-0000-0000-0000E1080000}"/>
    <cellStyle name="Обычный 3 14 2 2" xfId="854" xr:uid="{00000000-0005-0000-0000-0000E2080000}"/>
    <cellStyle name="Обычный 3 14 3" xfId="855" xr:uid="{00000000-0005-0000-0000-0000E3080000}"/>
    <cellStyle name="Обычный 3 2" xfId="856" xr:uid="{00000000-0005-0000-0000-0000E4080000}"/>
    <cellStyle name="Обычный 3 2 10" xfId="857" xr:uid="{00000000-0005-0000-0000-0000E5080000}"/>
    <cellStyle name="Обычный 3 2 11" xfId="858" xr:uid="{00000000-0005-0000-0000-0000E6080000}"/>
    <cellStyle name="Обычный 3 2 12" xfId="859" xr:uid="{00000000-0005-0000-0000-0000E7080000}"/>
    <cellStyle name="Обычный 3 2 12 2" xfId="860" xr:uid="{00000000-0005-0000-0000-0000E8080000}"/>
    <cellStyle name="Обычный 3 2 12 2 2" xfId="861" xr:uid="{00000000-0005-0000-0000-0000E9080000}"/>
    <cellStyle name="Обычный 3 2 12 3" xfId="862" xr:uid="{00000000-0005-0000-0000-0000EA080000}"/>
    <cellStyle name="Обычный 3 2 2" xfId="863" xr:uid="{00000000-0005-0000-0000-0000EB080000}"/>
    <cellStyle name="Обычный 3 2 2 2" xfId="864" xr:uid="{00000000-0005-0000-0000-0000EC080000}"/>
    <cellStyle name="Обычный 3 2 2 2 2" xfId="865" xr:uid="{00000000-0005-0000-0000-0000ED080000}"/>
    <cellStyle name="Обычный 3 2 2 2 2 2" xfId="866" xr:uid="{00000000-0005-0000-0000-0000EE080000}"/>
    <cellStyle name="Обычный 3 2 2 2 2 2 2" xfId="867" xr:uid="{00000000-0005-0000-0000-0000EF080000}"/>
    <cellStyle name="Обычный 3 2 2 2 2 3" xfId="868" xr:uid="{00000000-0005-0000-0000-0000F0080000}"/>
    <cellStyle name="Обычный 3 2 2 2 3" xfId="869" xr:uid="{00000000-0005-0000-0000-0000F1080000}"/>
    <cellStyle name="Обычный 3 2 2 2 3 2" xfId="870" xr:uid="{00000000-0005-0000-0000-0000F2080000}"/>
    <cellStyle name="Обычный 3 2 2 2 4" xfId="871" xr:uid="{00000000-0005-0000-0000-0000F3080000}"/>
    <cellStyle name="Обычный 3 2 2 3" xfId="872" xr:uid="{00000000-0005-0000-0000-0000F4080000}"/>
    <cellStyle name="Обычный 3 2 2 3 2" xfId="873" xr:uid="{00000000-0005-0000-0000-0000F5080000}"/>
    <cellStyle name="Обычный 3 2 2 3 2 2" xfId="874" xr:uid="{00000000-0005-0000-0000-0000F6080000}"/>
    <cellStyle name="Обычный 3 2 2 3 2 2 2" xfId="875" xr:uid="{00000000-0005-0000-0000-0000F7080000}"/>
    <cellStyle name="Обычный 3 2 2 3 2 2 2 2" xfId="876" xr:uid="{00000000-0005-0000-0000-0000F8080000}"/>
    <cellStyle name="Обычный 3 2 2 3 2 2 3" xfId="877" xr:uid="{00000000-0005-0000-0000-0000F9080000}"/>
    <cellStyle name="Обычный 3 2 2 3 2 3" xfId="878" xr:uid="{00000000-0005-0000-0000-0000FA080000}"/>
    <cellStyle name="Обычный 3 2 2 3 2 3 2" xfId="879" xr:uid="{00000000-0005-0000-0000-0000FB080000}"/>
    <cellStyle name="Обычный 3 2 2 3 2 4" xfId="880" xr:uid="{00000000-0005-0000-0000-0000FC080000}"/>
    <cellStyle name="Обычный 3 2 2 3 3" xfId="881" xr:uid="{00000000-0005-0000-0000-0000FD080000}"/>
    <cellStyle name="Обычный 3 2 2 3 3 2" xfId="882" xr:uid="{00000000-0005-0000-0000-0000FE080000}"/>
    <cellStyle name="Обычный 3 2 2 3 3 2 2" xfId="883" xr:uid="{00000000-0005-0000-0000-0000FF080000}"/>
    <cellStyle name="Обычный 3 2 2 3 3 3" xfId="884" xr:uid="{00000000-0005-0000-0000-000000090000}"/>
    <cellStyle name="Обычный 3 2 2 3 4" xfId="885" xr:uid="{00000000-0005-0000-0000-000001090000}"/>
    <cellStyle name="Обычный 3 2 2 3 4 2" xfId="886" xr:uid="{00000000-0005-0000-0000-000002090000}"/>
    <cellStyle name="Обычный 3 2 2 3 5" xfId="887" xr:uid="{00000000-0005-0000-0000-000003090000}"/>
    <cellStyle name="Обычный 3 2 2 4" xfId="888" xr:uid="{00000000-0005-0000-0000-000004090000}"/>
    <cellStyle name="Обычный 3 2 2 4 2" xfId="889" xr:uid="{00000000-0005-0000-0000-000005090000}"/>
    <cellStyle name="Обычный 3 2 2 4 2 2" xfId="890" xr:uid="{00000000-0005-0000-0000-000006090000}"/>
    <cellStyle name="Обычный 3 2 2 4 3" xfId="891" xr:uid="{00000000-0005-0000-0000-000007090000}"/>
    <cellStyle name="Обычный 3 2 2 5" xfId="892" xr:uid="{00000000-0005-0000-0000-000008090000}"/>
    <cellStyle name="Обычный 3 2 2 5 2" xfId="893" xr:uid="{00000000-0005-0000-0000-000009090000}"/>
    <cellStyle name="Обычный 3 2 2 6" xfId="894" xr:uid="{00000000-0005-0000-0000-00000A090000}"/>
    <cellStyle name="Обычный 3 2 3" xfId="895" xr:uid="{00000000-0005-0000-0000-00000B090000}"/>
    <cellStyle name="Обычный 3 2 4" xfId="896" xr:uid="{00000000-0005-0000-0000-00000C090000}"/>
    <cellStyle name="Обычный 3 2 4 2" xfId="897" xr:uid="{00000000-0005-0000-0000-00000D090000}"/>
    <cellStyle name="Обычный 3 2 4 2 2" xfId="898" xr:uid="{00000000-0005-0000-0000-00000E090000}"/>
    <cellStyle name="Обычный 3 2 4 3" xfId="899" xr:uid="{00000000-0005-0000-0000-00000F090000}"/>
    <cellStyle name="Обычный 3 2 5" xfId="900" xr:uid="{00000000-0005-0000-0000-000010090000}"/>
    <cellStyle name="Обычный 3 2 6" xfId="901" xr:uid="{00000000-0005-0000-0000-000011090000}"/>
    <cellStyle name="Обычный 3 2 7" xfId="902" xr:uid="{00000000-0005-0000-0000-000012090000}"/>
    <cellStyle name="Обычный 3 2 8" xfId="903" xr:uid="{00000000-0005-0000-0000-000013090000}"/>
    <cellStyle name="Обычный 3 2 9" xfId="904" xr:uid="{00000000-0005-0000-0000-000014090000}"/>
    <cellStyle name="Обычный 3 3" xfId="905" xr:uid="{00000000-0005-0000-0000-000015090000}"/>
    <cellStyle name="Обычный 3 4" xfId="906" xr:uid="{00000000-0005-0000-0000-000016090000}"/>
    <cellStyle name="Обычный 3 5" xfId="907" xr:uid="{00000000-0005-0000-0000-000017090000}"/>
    <cellStyle name="Обычный 3 6" xfId="908" xr:uid="{00000000-0005-0000-0000-000018090000}"/>
    <cellStyle name="Обычный 3 7" xfId="909" xr:uid="{00000000-0005-0000-0000-000019090000}"/>
    <cellStyle name="Обычный 3 8" xfId="910" xr:uid="{00000000-0005-0000-0000-00001A090000}"/>
    <cellStyle name="Обычный 3 9" xfId="911" xr:uid="{00000000-0005-0000-0000-00001B090000}"/>
    <cellStyle name="Обычный 3_TheModel 23.03.2011 (филиалы+ОГК3)" xfId="912" xr:uid="{00000000-0005-0000-0000-00001C090000}"/>
    <cellStyle name="Обычный 30" xfId="913" xr:uid="{00000000-0005-0000-0000-00001D090000}"/>
    <cellStyle name="Обычный 30 2" xfId="914" xr:uid="{00000000-0005-0000-0000-00001E090000}"/>
    <cellStyle name="Обычный 30 2 2" xfId="915" xr:uid="{00000000-0005-0000-0000-00001F090000}"/>
    <cellStyle name="Обычный 30 3" xfId="916" xr:uid="{00000000-0005-0000-0000-000020090000}"/>
    <cellStyle name="Обычный 31" xfId="917" xr:uid="{00000000-0005-0000-0000-000021090000}"/>
    <cellStyle name="Обычный 31 2" xfId="918" xr:uid="{00000000-0005-0000-0000-000022090000}"/>
    <cellStyle name="Обычный 31 2 2" xfId="919" xr:uid="{00000000-0005-0000-0000-000023090000}"/>
    <cellStyle name="Обычный 31 3" xfId="920" xr:uid="{00000000-0005-0000-0000-000024090000}"/>
    <cellStyle name="Обычный 32" xfId="921" xr:uid="{00000000-0005-0000-0000-000025090000}"/>
    <cellStyle name="Обычный 32 2" xfId="922" xr:uid="{00000000-0005-0000-0000-000026090000}"/>
    <cellStyle name="Обычный 32 2 2" xfId="923" xr:uid="{00000000-0005-0000-0000-000027090000}"/>
    <cellStyle name="Обычный 32 3" xfId="924" xr:uid="{00000000-0005-0000-0000-000028090000}"/>
    <cellStyle name="Обычный 33" xfId="925" xr:uid="{00000000-0005-0000-0000-000029090000}"/>
    <cellStyle name="Обычный 33 2" xfId="926" xr:uid="{00000000-0005-0000-0000-00002A090000}"/>
    <cellStyle name="Обычный 33 2 2" xfId="927" xr:uid="{00000000-0005-0000-0000-00002B090000}"/>
    <cellStyle name="Обычный 33 3" xfId="928" xr:uid="{00000000-0005-0000-0000-00002C090000}"/>
    <cellStyle name="Обычный 34" xfId="929" xr:uid="{00000000-0005-0000-0000-00002D090000}"/>
    <cellStyle name="Обычный 34 2" xfId="930" xr:uid="{00000000-0005-0000-0000-00002E090000}"/>
    <cellStyle name="Обычный 34 2 2" xfId="931" xr:uid="{00000000-0005-0000-0000-00002F090000}"/>
    <cellStyle name="Обычный 34 3" xfId="932" xr:uid="{00000000-0005-0000-0000-000030090000}"/>
    <cellStyle name="Обычный 35" xfId="933" xr:uid="{00000000-0005-0000-0000-000031090000}"/>
    <cellStyle name="Обычный 36" xfId="934" xr:uid="{00000000-0005-0000-0000-000032090000}"/>
    <cellStyle name="Обычный 37" xfId="935" xr:uid="{00000000-0005-0000-0000-000033090000}"/>
    <cellStyle name="Обычный 37 2" xfId="936" xr:uid="{00000000-0005-0000-0000-000034090000}"/>
    <cellStyle name="Обычный 37 2 2" xfId="937" xr:uid="{00000000-0005-0000-0000-000035090000}"/>
    <cellStyle name="Обычный 37 3" xfId="938" xr:uid="{00000000-0005-0000-0000-000036090000}"/>
    <cellStyle name="Обычный 38" xfId="939" xr:uid="{00000000-0005-0000-0000-000037090000}"/>
    <cellStyle name="Обычный 38 2" xfId="940" xr:uid="{00000000-0005-0000-0000-000038090000}"/>
    <cellStyle name="Обычный 38 2 2" xfId="941" xr:uid="{00000000-0005-0000-0000-000039090000}"/>
    <cellStyle name="Обычный 38 3" xfId="942" xr:uid="{00000000-0005-0000-0000-00003A090000}"/>
    <cellStyle name="Обычный 39" xfId="943" xr:uid="{00000000-0005-0000-0000-00003B090000}"/>
    <cellStyle name="Обычный 39 2" xfId="944" xr:uid="{00000000-0005-0000-0000-00003C090000}"/>
    <cellStyle name="Обычный 39 2 2" xfId="945" xr:uid="{00000000-0005-0000-0000-00003D090000}"/>
    <cellStyle name="Обычный 39 3" xfId="946" xr:uid="{00000000-0005-0000-0000-00003E090000}"/>
    <cellStyle name="Обычный 4" xfId="947" xr:uid="{00000000-0005-0000-0000-00003F090000}"/>
    <cellStyle name="Обычный 4 10" xfId="948" xr:uid="{00000000-0005-0000-0000-000040090000}"/>
    <cellStyle name="Обычный 4 11" xfId="949" xr:uid="{00000000-0005-0000-0000-000041090000}"/>
    <cellStyle name="Обычный 4 12" xfId="950" xr:uid="{00000000-0005-0000-0000-000042090000}"/>
    <cellStyle name="Обычный 4 13" xfId="951" xr:uid="{00000000-0005-0000-0000-000043090000}"/>
    <cellStyle name="Обычный 4 14" xfId="952" xr:uid="{00000000-0005-0000-0000-000044090000}"/>
    <cellStyle name="Обычный 4 14 2" xfId="953" xr:uid="{00000000-0005-0000-0000-000045090000}"/>
    <cellStyle name="Обычный 4 15" xfId="954" xr:uid="{00000000-0005-0000-0000-000046090000}"/>
    <cellStyle name="Обычный 4 2" xfId="955" xr:uid="{00000000-0005-0000-0000-000047090000}"/>
    <cellStyle name="Обычный 4 2 2" xfId="956" xr:uid="{00000000-0005-0000-0000-000048090000}"/>
    <cellStyle name="Обычный 4 2 2 2" xfId="957" xr:uid="{00000000-0005-0000-0000-000049090000}"/>
    <cellStyle name="Обычный 4 2 2 2 2" xfId="958" xr:uid="{00000000-0005-0000-0000-00004A090000}"/>
    <cellStyle name="Обычный 4 2 2 2 2 2" xfId="959" xr:uid="{00000000-0005-0000-0000-00004B090000}"/>
    <cellStyle name="Обычный 4 2 2 2 2 2 2" xfId="960" xr:uid="{00000000-0005-0000-0000-00004C090000}"/>
    <cellStyle name="Обычный 4 2 2 2 2 3" xfId="961" xr:uid="{00000000-0005-0000-0000-00004D090000}"/>
    <cellStyle name="Обычный 4 2 2 2 3" xfId="962" xr:uid="{00000000-0005-0000-0000-00004E090000}"/>
    <cellStyle name="Обычный 4 2 2 2 3 2" xfId="963" xr:uid="{00000000-0005-0000-0000-00004F090000}"/>
    <cellStyle name="Обычный 4 2 2 2 4" xfId="964" xr:uid="{00000000-0005-0000-0000-000050090000}"/>
    <cellStyle name="Обычный 4 2 2 3" xfId="965" xr:uid="{00000000-0005-0000-0000-000051090000}"/>
    <cellStyle name="Обычный 4 2 2 3 2" xfId="966" xr:uid="{00000000-0005-0000-0000-000052090000}"/>
    <cellStyle name="Обычный 4 2 2 3 2 2" xfId="967" xr:uid="{00000000-0005-0000-0000-000053090000}"/>
    <cellStyle name="Обычный 4 2 2 3 3" xfId="968" xr:uid="{00000000-0005-0000-0000-000054090000}"/>
    <cellStyle name="Обычный 4 2 2 4" xfId="969" xr:uid="{00000000-0005-0000-0000-000055090000}"/>
    <cellStyle name="Обычный 4 2 2 4 2" xfId="970" xr:uid="{00000000-0005-0000-0000-000056090000}"/>
    <cellStyle name="Обычный 4 2 2 5" xfId="971" xr:uid="{00000000-0005-0000-0000-000057090000}"/>
    <cellStyle name="Обычный 4 2 3" xfId="972" xr:uid="{00000000-0005-0000-0000-000058090000}"/>
    <cellStyle name="Обычный 4 2 3 2" xfId="973" xr:uid="{00000000-0005-0000-0000-000059090000}"/>
    <cellStyle name="Обычный 4 2 3 2 2" xfId="974" xr:uid="{00000000-0005-0000-0000-00005A090000}"/>
    <cellStyle name="Обычный 4 2 3 3" xfId="975" xr:uid="{00000000-0005-0000-0000-00005B090000}"/>
    <cellStyle name="Обычный 4 2 4" xfId="976" xr:uid="{00000000-0005-0000-0000-00005C090000}"/>
    <cellStyle name="Обычный 4 2 4 2" xfId="977" xr:uid="{00000000-0005-0000-0000-00005D090000}"/>
    <cellStyle name="Обычный 4 2 4 2 2" xfId="978" xr:uid="{00000000-0005-0000-0000-00005E090000}"/>
    <cellStyle name="Обычный 4 2 4 3" xfId="979" xr:uid="{00000000-0005-0000-0000-00005F090000}"/>
    <cellStyle name="Обычный 4 3" xfId="980" xr:uid="{00000000-0005-0000-0000-000060090000}"/>
    <cellStyle name="Обычный 4 4" xfId="981" xr:uid="{00000000-0005-0000-0000-000061090000}"/>
    <cellStyle name="Обычный 4 5" xfId="982" xr:uid="{00000000-0005-0000-0000-000062090000}"/>
    <cellStyle name="Обычный 4 6" xfId="983" xr:uid="{00000000-0005-0000-0000-000063090000}"/>
    <cellStyle name="Обычный 4 7" xfId="984" xr:uid="{00000000-0005-0000-0000-000064090000}"/>
    <cellStyle name="Обычный 4 8" xfId="985" xr:uid="{00000000-0005-0000-0000-000065090000}"/>
    <cellStyle name="Обычный 4 9" xfId="986" xr:uid="{00000000-0005-0000-0000-000066090000}"/>
    <cellStyle name="Обычный 4_Copy of Финмодель ИРАО 12.05.2010 БП" xfId="987" xr:uid="{00000000-0005-0000-0000-000067090000}"/>
    <cellStyle name="Обычный 40" xfId="988" xr:uid="{00000000-0005-0000-0000-000068090000}"/>
    <cellStyle name="Обычный 40 2" xfId="989" xr:uid="{00000000-0005-0000-0000-000069090000}"/>
    <cellStyle name="Обычный 40 2 2" xfId="990" xr:uid="{00000000-0005-0000-0000-00006A090000}"/>
    <cellStyle name="Обычный 40 3" xfId="991" xr:uid="{00000000-0005-0000-0000-00006B090000}"/>
    <cellStyle name="Обычный 41" xfId="992" xr:uid="{00000000-0005-0000-0000-00006C090000}"/>
    <cellStyle name="Обычный 41 2" xfId="993" xr:uid="{00000000-0005-0000-0000-00006D090000}"/>
    <cellStyle name="Обычный 41 2 2" xfId="994" xr:uid="{00000000-0005-0000-0000-00006E090000}"/>
    <cellStyle name="Обычный 41 3" xfId="995" xr:uid="{00000000-0005-0000-0000-00006F090000}"/>
    <cellStyle name="Обычный 42" xfId="996" xr:uid="{00000000-0005-0000-0000-000070090000}"/>
    <cellStyle name="Обычный 42 2" xfId="997" xr:uid="{00000000-0005-0000-0000-000071090000}"/>
    <cellStyle name="Обычный 42 2 2" xfId="998" xr:uid="{00000000-0005-0000-0000-000072090000}"/>
    <cellStyle name="Обычный 42 3" xfId="999" xr:uid="{00000000-0005-0000-0000-000073090000}"/>
    <cellStyle name="Обычный 43" xfId="1000" xr:uid="{00000000-0005-0000-0000-000074090000}"/>
    <cellStyle name="Обычный 43 2" xfId="1001" xr:uid="{00000000-0005-0000-0000-000075090000}"/>
    <cellStyle name="Обычный 43 2 2" xfId="1002" xr:uid="{00000000-0005-0000-0000-000076090000}"/>
    <cellStyle name="Обычный 43 3" xfId="1003" xr:uid="{00000000-0005-0000-0000-000077090000}"/>
    <cellStyle name="Обычный 44" xfId="1004" xr:uid="{00000000-0005-0000-0000-000078090000}"/>
    <cellStyle name="Обычный 44 2" xfId="1005" xr:uid="{00000000-0005-0000-0000-000079090000}"/>
    <cellStyle name="Обычный 44 2 2" xfId="1006" xr:uid="{00000000-0005-0000-0000-00007A090000}"/>
    <cellStyle name="Обычный 44 3" xfId="1007" xr:uid="{00000000-0005-0000-0000-00007B090000}"/>
    <cellStyle name="Обычный 45" xfId="1008" xr:uid="{00000000-0005-0000-0000-00007C090000}"/>
    <cellStyle name="Обычный 45 2" xfId="1009" xr:uid="{00000000-0005-0000-0000-00007D090000}"/>
    <cellStyle name="Обычный 45 2 2" xfId="1010" xr:uid="{00000000-0005-0000-0000-00007E090000}"/>
    <cellStyle name="Обычный 45 3" xfId="1011" xr:uid="{00000000-0005-0000-0000-00007F090000}"/>
    <cellStyle name="Обычный 46" xfId="1012" xr:uid="{00000000-0005-0000-0000-000080090000}"/>
    <cellStyle name="Обычный 46 2" xfId="1013" xr:uid="{00000000-0005-0000-0000-000081090000}"/>
    <cellStyle name="Обычный 46 2 2" xfId="1014" xr:uid="{00000000-0005-0000-0000-000082090000}"/>
    <cellStyle name="Обычный 46 3" xfId="1015" xr:uid="{00000000-0005-0000-0000-000083090000}"/>
    <cellStyle name="Обычный 47" xfId="1016" xr:uid="{00000000-0005-0000-0000-000084090000}"/>
    <cellStyle name="Обычный 47 2" xfId="1017" xr:uid="{00000000-0005-0000-0000-000085090000}"/>
    <cellStyle name="Обычный 47 2 2" xfId="1018" xr:uid="{00000000-0005-0000-0000-000086090000}"/>
    <cellStyle name="Обычный 47 3" xfId="1019" xr:uid="{00000000-0005-0000-0000-000087090000}"/>
    <cellStyle name="Обычный 48" xfId="1020" xr:uid="{00000000-0005-0000-0000-000088090000}"/>
    <cellStyle name="Обычный 48 2" xfId="1021" xr:uid="{00000000-0005-0000-0000-000089090000}"/>
    <cellStyle name="Обычный 48 2 2" xfId="1022" xr:uid="{00000000-0005-0000-0000-00008A090000}"/>
    <cellStyle name="Обычный 48 3" xfId="1023" xr:uid="{00000000-0005-0000-0000-00008B090000}"/>
    <cellStyle name="Обычный 49" xfId="1024" xr:uid="{00000000-0005-0000-0000-00008C090000}"/>
    <cellStyle name="Обычный 49 2" xfId="1025" xr:uid="{00000000-0005-0000-0000-00008D090000}"/>
    <cellStyle name="Обычный 49 2 2" xfId="1026" xr:uid="{00000000-0005-0000-0000-00008E090000}"/>
    <cellStyle name="Обычный 49 3" xfId="1027" xr:uid="{00000000-0005-0000-0000-00008F090000}"/>
    <cellStyle name="Обычный 5" xfId="1028" xr:uid="{00000000-0005-0000-0000-000090090000}"/>
    <cellStyle name="Обычный 5 10" xfId="1029" xr:uid="{00000000-0005-0000-0000-000091090000}"/>
    <cellStyle name="Обычный 5 11" xfId="1030" xr:uid="{00000000-0005-0000-0000-000092090000}"/>
    <cellStyle name="Обычный 5 12" xfId="1031" xr:uid="{00000000-0005-0000-0000-000093090000}"/>
    <cellStyle name="Обычный 5 13" xfId="1032" xr:uid="{00000000-0005-0000-0000-000094090000}"/>
    <cellStyle name="Обычный 5 13 2" xfId="1033" xr:uid="{00000000-0005-0000-0000-000095090000}"/>
    <cellStyle name="Обычный 5 13 2 2" xfId="1034" xr:uid="{00000000-0005-0000-0000-000096090000}"/>
    <cellStyle name="Обычный 5 13 3" xfId="1035" xr:uid="{00000000-0005-0000-0000-000097090000}"/>
    <cellStyle name="Обычный 5 14" xfId="1036" xr:uid="{00000000-0005-0000-0000-000098090000}"/>
    <cellStyle name="Обычный 5 15" xfId="1037" xr:uid="{00000000-0005-0000-0000-000099090000}"/>
    <cellStyle name="Обычный 5 15 2" xfId="1038" xr:uid="{00000000-0005-0000-0000-00009A090000}"/>
    <cellStyle name="Обычный 5 15 2 2" xfId="1039" xr:uid="{00000000-0005-0000-0000-00009B090000}"/>
    <cellStyle name="Обычный 5 15 3" xfId="1040" xr:uid="{00000000-0005-0000-0000-00009C090000}"/>
    <cellStyle name="Обычный 5 16" xfId="1041" xr:uid="{00000000-0005-0000-0000-00009D090000}"/>
    <cellStyle name="Обычный 5 16 2" xfId="1042" xr:uid="{00000000-0005-0000-0000-00009E090000}"/>
    <cellStyle name="Обычный 5 17" xfId="1043" xr:uid="{00000000-0005-0000-0000-00009F090000}"/>
    <cellStyle name="Обычный 5 2" xfId="1044" xr:uid="{00000000-0005-0000-0000-0000A0090000}"/>
    <cellStyle name="Обычный 5 2 10" xfId="1045" xr:uid="{00000000-0005-0000-0000-0000A1090000}"/>
    <cellStyle name="Обычный 5 2 11" xfId="1046" xr:uid="{00000000-0005-0000-0000-0000A2090000}"/>
    <cellStyle name="Обычный 5 2 2" xfId="1047" xr:uid="{00000000-0005-0000-0000-0000A3090000}"/>
    <cellStyle name="Обычный 5 2 3" xfId="1048" xr:uid="{00000000-0005-0000-0000-0000A4090000}"/>
    <cellStyle name="Обычный 5 2 4" xfId="1049" xr:uid="{00000000-0005-0000-0000-0000A5090000}"/>
    <cellStyle name="Обычный 5 2 5" xfId="1050" xr:uid="{00000000-0005-0000-0000-0000A6090000}"/>
    <cellStyle name="Обычный 5 2 6" xfId="1051" xr:uid="{00000000-0005-0000-0000-0000A7090000}"/>
    <cellStyle name="Обычный 5 2 7" xfId="1052" xr:uid="{00000000-0005-0000-0000-0000A8090000}"/>
    <cellStyle name="Обычный 5 2 8" xfId="1053" xr:uid="{00000000-0005-0000-0000-0000A9090000}"/>
    <cellStyle name="Обычный 5 2 9" xfId="1054" xr:uid="{00000000-0005-0000-0000-0000AA090000}"/>
    <cellStyle name="Обычный 5 3" xfId="1055" xr:uid="{00000000-0005-0000-0000-0000AB090000}"/>
    <cellStyle name="Обычный 5 4" xfId="1056" xr:uid="{00000000-0005-0000-0000-0000AC090000}"/>
    <cellStyle name="Обычный 5 5" xfId="1057" xr:uid="{00000000-0005-0000-0000-0000AD090000}"/>
    <cellStyle name="Обычный 5 6" xfId="1058" xr:uid="{00000000-0005-0000-0000-0000AE090000}"/>
    <cellStyle name="Обычный 5 7" xfId="1059" xr:uid="{00000000-0005-0000-0000-0000AF090000}"/>
    <cellStyle name="Обычный 5 8" xfId="1060" xr:uid="{00000000-0005-0000-0000-0000B0090000}"/>
    <cellStyle name="Обычный 5 9" xfId="1061" xr:uid="{00000000-0005-0000-0000-0000B1090000}"/>
    <cellStyle name="Обычный 50" xfId="1062" xr:uid="{00000000-0005-0000-0000-0000B2090000}"/>
    <cellStyle name="Обычный 50 2" xfId="1063" xr:uid="{00000000-0005-0000-0000-0000B3090000}"/>
    <cellStyle name="Обычный 50 2 2" xfId="1064" xr:uid="{00000000-0005-0000-0000-0000B4090000}"/>
    <cellStyle name="Обычный 50 3" xfId="1065" xr:uid="{00000000-0005-0000-0000-0000B5090000}"/>
    <cellStyle name="Обычный 51" xfId="1066" xr:uid="{00000000-0005-0000-0000-0000B6090000}"/>
    <cellStyle name="Обычный 51 2" xfId="1067" xr:uid="{00000000-0005-0000-0000-0000B7090000}"/>
    <cellStyle name="Обычный 51 2 2" xfId="1068" xr:uid="{00000000-0005-0000-0000-0000B8090000}"/>
    <cellStyle name="Обычный 51 3" xfId="1069" xr:uid="{00000000-0005-0000-0000-0000B9090000}"/>
    <cellStyle name="Обычный 52" xfId="1070" xr:uid="{00000000-0005-0000-0000-0000BA090000}"/>
    <cellStyle name="Обычный 52 2" xfId="1071" xr:uid="{00000000-0005-0000-0000-0000BB090000}"/>
    <cellStyle name="Обычный 52 2 2" xfId="1072" xr:uid="{00000000-0005-0000-0000-0000BC090000}"/>
    <cellStyle name="Обычный 52 3" xfId="1073" xr:uid="{00000000-0005-0000-0000-0000BD090000}"/>
    <cellStyle name="Обычный 53" xfId="1074" xr:uid="{00000000-0005-0000-0000-0000BE090000}"/>
    <cellStyle name="Обычный 53 2" xfId="1075" xr:uid="{00000000-0005-0000-0000-0000BF090000}"/>
    <cellStyle name="Обычный 53 2 2" xfId="1076" xr:uid="{00000000-0005-0000-0000-0000C0090000}"/>
    <cellStyle name="Обычный 53 3" xfId="1077" xr:uid="{00000000-0005-0000-0000-0000C1090000}"/>
    <cellStyle name="Обычный 54" xfId="1078" xr:uid="{00000000-0005-0000-0000-0000C2090000}"/>
    <cellStyle name="Обычный 54 2" xfId="1079" xr:uid="{00000000-0005-0000-0000-0000C3090000}"/>
    <cellStyle name="Обычный 54 2 2" xfId="1080" xr:uid="{00000000-0005-0000-0000-0000C4090000}"/>
    <cellStyle name="Обычный 54 3" xfId="1081" xr:uid="{00000000-0005-0000-0000-0000C5090000}"/>
    <cellStyle name="Обычный 55" xfId="1082" xr:uid="{00000000-0005-0000-0000-0000C6090000}"/>
    <cellStyle name="Обычный 55 2" xfId="1083" xr:uid="{00000000-0005-0000-0000-0000C7090000}"/>
    <cellStyle name="Обычный 55 2 2" xfId="1084" xr:uid="{00000000-0005-0000-0000-0000C8090000}"/>
    <cellStyle name="Обычный 55 3" xfId="1085" xr:uid="{00000000-0005-0000-0000-0000C9090000}"/>
    <cellStyle name="Обычный 56" xfId="1086" xr:uid="{00000000-0005-0000-0000-0000CA090000}"/>
    <cellStyle name="Обычный 56 2" xfId="1087" xr:uid="{00000000-0005-0000-0000-0000CB090000}"/>
    <cellStyle name="Обычный 56 2 2" xfId="1088" xr:uid="{00000000-0005-0000-0000-0000CC090000}"/>
    <cellStyle name="Обычный 56 3" xfId="1089" xr:uid="{00000000-0005-0000-0000-0000CD090000}"/>
    <cellStyle name="Обычный 57" xfId="1090" xr:uid="{00000000-0005-0000-0000-0000CE090000}"/>
    <cellStyle name="Обычный 57 2" xfId="1091" xr:uid="{00000000-0005-0000-0000-0000CF090000}"/>
    <cellStyle name="Обычный 57 2 2" xfId="1092" xr:uid="{00000000-0005-0000-0000-0000D0090000}"/>
    <cellStyle name="Обычный 57 3" xfId="1093" xr:uid="{00000000-0005-0000-0000-0000D1090000}"/>
    <cellStyle name="Обычный 58" xfId="1094" xr:uid="{00000000-0005-0000-0000-0000D2090000}"/>
    <cellStyle name="Обычный 58 2" xfId="1095" xr:uid="{00000000-0005-0000-0000-0000D3090000}"/>
    <cellStyle name="Обычный 58 2 2" xfId="1096" xr:uid="{00000000-0005-0000-0000-0000D4090000}"/>
    <cellStyle name="Обычный 58 3" xfId="1097" xr:uid="{00000000-0005-0000-0000-0000D5090000}"/>
    <cellStyle name="Обычный 59" xfId="1098" xr:uid="{00000000-0005-0000-0000-0000D6090000}"/>
    <cellStyle name="Обычный 59 2" xfId="1099" xr:uid="{00000000-0005-0000-0000-0000D7090000}"/>
    <cellStyle name="Обычный 59 2 2" xfId="1100" xr:uid="{00000000-0005-0000-0000-0000D8090000}"/>
    <cellStyle name="Обычный 59 3" xfId="1101" xr:uid="{00000000-0005-0000-0000-0000D9090000}"/>
    <cellStyle name="Обычный 6" xfId="1102" xr:uid="{00000000-0005-0000-0000-0000DA090000}"/>
    <cellStyle name="Обычный 6 2" xfId="1103" xr:uid="{00000000-0005-0000-0000-0000DB090000}"/>
    <cellStyle name="Обычный 6 3" xfId="1104" xr:uid="{00000000-0005-0000-0000-0000DC090000}"/>
    <cellStyle name="Обычный 60" xfId="1105" xr:uid="{00000000-0005-0000-0000-0000DD090000}"/>
    <cellStyle name="Обычный 60 2" xfId="1106" xr:uid="{00000000-0005-0000-0000-0000DE090000}"/>
    <cellStyle name="Обычный 60 2 2" xfId="1107" xr:uid="{00000000-0005-0000-0000-0000DF090000}"/>
    <cellStyle name="Обычный 60 3" xfId="1108" xr:uid="{00000000-0005-0000-0000-0000E0090000}"/>
    <cellStyle name="Обычный 61" xfId="1109" xr:uid="{00000000-0005-0000-0000-0000E1090000}"/>
    <cellStyle name="Обычный 61 2" xfId="1110" xr:uid="{00000000-0005-0000-0000-0000E2090000}"/>
    <cellStyle name="Обычный 61 2 2" xfId="1111" xr:uid="{00000000-0005-0000-0000-0000E3090000}"/>
    <cellStyle name="Обычный 61 3" xfId="1112" xr:uid="{00000000-0005-0000-0000-0000E4090000}"/>
    <cellStyle name="Обычный 62" xfId="1113" xr:uid="{00000000-0005-0000-0000-0000E5090000}"/>
    <cellStyle name="Обычный 62 2" xfId="1114" xr:uid="{00000000-0005-0000-0000-0000E6090000}"/>
    <cellStyle name="Обычный 62 2 2" xfId="1115" xr:uid="{00000000-0005-0000-0000-0000E7090000}"/>
    <cellStyle name="Обычный 62 3" xfId="1116" xr:uid="{00000000-0005-0000-0000-0000E8090000}"/>
    <cellStyle name="Обычный 63" xfId="1117" xr:uid="{00000000-0005-0000-0000-0000E9090000}"/>
    <cellStyle name="Обычный 63 2" xfId="2761" xr:uid="{00000000-0005-0000-0000-0000EA090000}"/>
    <cellStyle name="Обычный 64" xfId="2759" xr:uid="{00000000-0005-0000-0000-0000EB090000}"/>
    <cellStyle name="Обычный 7" xfId="1118" xr:uid="{00000000-0005-0000-0000-0000EC090000}"/>
    <cellStyle name="Обычный 7 2" xfId="1119" xr:uid="{00000000-0005-0000-0000-0000ED090000}"/>
    <cellStyle name="Обычный 7 2 2" xfId="1120" xr:uid="{00000000-0005-0000-0000-0000EE090000}"/>
    <cellStyle name="Обычный 7 2 2 2" xfId="1121" xr:uid="{00000000-0005-0000-0000-0000EF090000}"/>
    <cellStyle name="Обычный 7 2 2 2 2" xfId="1122" xr:uid="{00000000-0005-0000-0000-0000F0090000}"/>
    <cellStyle name="Обычный 7 2 2 3" xfId="1123" xr:uid="{00000000-0005-0000-0000-0000F1090000}"/>
    <cellStyle name="Обычный 7 2 3" xfId="1124" xr:uid="{00000000-0005-0000-0000-0000F2090000}"/>
    <cellStyle name="Обычный 7 2 3 2" xfId="1125" xr:uid="{00000000-0005-0000-0000-0000F3090000}"/>
    <cellStyle name="Обычный 7 2 4" xfId="1126" xr:uid="{00000000-0005-0000-0000-0000F4090000}"/>
    <cellStyle name="Обычный 7 3" xfId="1127" xr:uid="{00000000-0005-0000-0000-0000F5090000}"/>
    <cellStyle name="Обычный 7 3 2" xfId="1128" xr:uid="{00000000-0005-0000-0000-0000F6090000}"/>
    <cellStyle name="Обычный 7 3 2 2" xfId="1129" xr:uid="{00000000-0005-0000-0000-0000F7090000}"/>
    <cellStyle name="Обычный 7 3 3" xfId="1130" xr:uid="{00000000-0005-0000-0000-0000F8090000}"/>
    <cellStyle name="Обычный 7 4" xfId="1131" xr:uid="{00000000-0005-0000-0000-0000F9090000}"/>
    <cellStyle name="Обычный 7 4 2" xfId="1132" xr:uid="{00000000-0005-0000-0000-0000FA090000}"/>
    <cellStyle name="Обычный 7 5" xfId="1133" xr:uid="{00000000-0005-0000-0000-0000FB090000}"/>
    <cellStyle name="Обычный 8" xfId="1134" xr:uid="{00000000-0005-0000-0000-0000FC090000}"/>
    <cellStyle name="Обычный 8 2" xfId="1135" xr:uid="{00000000-0005-0000-0000-0000FD090000}"/>
    <cellStyle name="Обычный 8 2 2" xfId="1136" xr:uid="{00000000-0005-0000-0000-0000FE090000}"/>
    <cellStyle name="Обычный 8 2 2 2" xfId="1137" xr:uid="{00000000-0005-0000-0000-0000FF090000}"/>
    <cellStyle name="Обычный 8 2 2 2 2" xfId="1138" xr:uid="{00000000-0005-0000-0000-0000000A0000}"/>
    <cellStyle name="Обычный 8 2 2 3" xfId="1139" xr:uid="{00000000-0005-0000-0000-0000010A0000}"/>
    <cellStyle name="Обычный 8 2 3" xfId="1140" xr:uid="{00000000-0005-0000-0000-0000020A0000}"/>
    <cellStyle name="Обычный 8 2 3 2" xfId="1141" xr:uid="{00000000-0005-0000-0000-0000030A0000}"/>
    <cellStyle name="Обычный 8 2 4" xfId="1142" xr:uid="{00000000-0005-0000-0000-0000040A0000}"/>
    <cellStyle name="Обычный 9" xfId="1143" xr:uid="{00000000-0005-0000-0000-0000050A0000}"/>
    <cellStyle name="Обычный 9 2" xfId="1144" xr:uid="{00000000-0005-0000-0000-0000060A0000}"/>
    <cellStyle name="Обычный 9 2 2" xfId="1145" xr:uid="{00000000-0005-0000-0000-0000070A0000}"/>
    <cellStyle name="Обычный 9 2 2 2" xfId="1146" xr:uid="{00000000-0005-0000-0000-0000080A0000}"/>
    <cellStyle name="Обычный 9 2 3" xfId="1147" xr:uid="{00000000-0005-0000-0000-0000090A0000}"/>
    <cellStyle name="Обычный 9 3" xfId="1148" xr:uid="{00000000-0005-0000-0000-00000A0A0000}"/>
    <cellStyle name="Обычный 9 3 2" xfId="1149" xr:uid="{00000000-0005-0000-0000-00000B0A0000}"/>
    <cellStyle name="Обычный 9 4" xfId="1150" xr:uid="{00000000-0005-0000-0000-00000C0A0000}"/>
    <cellStyle name="План" xfId="1151" xr:uid="{00000000-0005-0000-0000-00000D0A0000}"/>
    <cellStyle name="План 2" xfId="1152" xr:uid="{00000000-0005-0000-0000-00000E0A0000}"/>
    <cellStyle name="Плохой 2" xfId="1153" xr:uid="{00000000-0005-0000-0000-00000F0A0000}"/>
    <cellStyle name="Подгруппа" xfId="1154" xr:uid="{00000000-0005-0000-0000-0000100A0000}"/>
    <cellStyle name="Подгруппа 2" xfId="1155" xr:uid="{00000000-0005-0000-0000-0000110A0000}"/>
    <cellStyle name="Поле ввода" xfId="1156" xr:uid="{00000000-0005-0000-0000-0000120A0000}"/>
    <cellStyle name="Пояснение 2" xfId="1157" xr:uid="{00000000-0005-0000-0000-0000130A0000}"/>
    <cellStyle name="Примечание 2" xfId="1158" xr:uid="{00000000-0005-0000-0000-0000140A0000}"/>
    <cellStyle name="Примечание 2 2" xfId="1159" xr:uid="{00000000-0005-0000-0000-0000150A0000}"/>
    <cellStyle name="Примечание 2 2 2" xfId="1160" xr:uid="{00000000-0005-0000-0000-0000160A0000}"/>
    <cellStyle name="Примечание 2 3" xfId="1161" xr:uid="{00000000-0005-0000-0000-0000170A0000}"/>
    <cellStyle name="Примечание 2 3 2" xfId="1162" xr:uid="{00000000-0005-0000-0000-0000180A0000}"/>
    <cellStyle name="Примечание 2 4" xfId="1163" xr:uid="{00000000-0005-0000-0000-0000190A0000}"/>
    <cellStyle name="Примечание 2 4 2" xfId="1164" xr:uid="{00000000-0005-0000-0000-00001A0A0000}"/>
    <cellStyle name="Примечание 2 5" xfId="1165" xr:uid="{00000000-0005-0000-0000-00001B0A0000}"/>
    <cellStyle name="Примечание 2 5 2" xfId="1166" xr:uid="{00000000-0005-0000-0000-00001C0A0000}"/>
    <cellStyle name="Примечание 2 6" xfId="1167" xr:uid="{00000000-0005-0000-0000-00001D0A0000}"/>
    <cellStyle name="Примечание 3" xfId="1168" xr:uid="{00000000-0005-0000-0000-00001E0A0000}"/>
    <cellStyle name="Примечание 3 2" xfId="1169" xr:uid="{00000000-0005-0000-0000-00001F0A0000}"/>
    <cellStyle name="Продукт" xfId="1170" xr:uid="{00000000-0005-0000-0000-0000200A0000}"/>
    <cellStyle name="Процент_11п" xfId="1171" xr:uid="{00000000-0005-0000-0000-0000210A0000}"/>
    <cellStyle name="Процентный" xfId="1172" builtinId="5"/>
    <cellStyle name="Процентный 10" xfId="1173" xr:uid="{00000000-0005-0000-0000-0000230A0000}"/>
    <cellStyle name="Процентный 10 2" xfId="1174" xr:uid="{00000000-0005-0000-0000-0000240A0000}"/>
    <cellStyle name="Процентный 10 2 2" xfId="1175" xr:uid="{00000000-0005-0000-0000-0000250A0000}"/>
    <cellStyle name="Процентный 10 3" xfId="1176" xr:uid="{00000000-0005-0000-0000-0000260A0000}"/>
    <cellStyle name="Процентный 2" xfId="1177" xr:uid="{00000000-0005-0000-0000-0000270A0000}"/>
    <cellStyle name="Процентный 2 10" xfId="1178" xr:uid="{00000000-0005-0000-0000-0000280A0000}"/>
    <cellStyle name="Процентный 2 11" xfId="1179" xr:uid="{00000000-0005-0000-0000-0000290A0000}"/>
    <cellStyle name="Процентный 2 12" xfId="1180" xr:uid="{00000000-0005-0000-0000-00002A0A0000}"/>
    <cellStyle name="Процентный 2 13" xfId="1181" xr:uid="{00000000-0005-0000-0000-00002B0A0000}"/>
    <cellStyle name="Процентный 2 2" xfId="1182" xr:uid="{00000000-0005-0000-0000-00002C0A0000}"/>
    <cellStyle name="Процентный 2 2 2" xfId="1183" xr:uid="{00000000-0005-0000-0000-00002D0A0000}"/>
    <cellStyle name="Процентный 2 2 2 2" xfId="1184" xr:uid="{00000000-0005-0000-0000-00002E0A0000}"/>
    <cellStyle name="Процентный 2 3" xfId="1185" xr:uid="{00000000-0005-0000-0000-00002F0A0000}"/>
    <cellStyle name="Процентный 2 4" xfId="1186" xr:uid="{00000000-0005-0000-0000-0000300A0000}"/>
    <cellStyle name="Процентный 2 5" xfId="1187" xr:uid="{00000000-0005-0000-0000-0000310A0000}"/>
    <cellStyle name="Процентный 2 6" xfId="1188" xr:uid="{00000000-0005-0000-0000-0000320A0000}"/>
    <cellStyle name="Процентный 2 7" xfId="1189" xr:uid="{00000000-0005-0000-0000-0000330A0000}"/>
    <cellStyle name="Процентный 2 8" xfId="1190" xr:uid="{00000000-0005-0000-0000-0000340A0000}"/>
    <cellStyle name="Процентный 2 9" xfId="1191" xr:uid="{00000000-0005-0000-0000-0000350A0000}"/>
    <cellStyle name="Процентный 3" xfId="1192" xr:uid="{00000000-0005-0000-0000-0000360A0000}"/>
    <cellStyle name="Процентный 3 2" xfId="1193" xr:uid="{00000000-0005-0000-0000-0000370A0000}"/>
    <cellStyle name="Процентный 4" xfId="1194" xr:uid="{00000000-0005-0000-0000-0000380A0000}"/>
    <cellStyle name="Процентный 4 2" xfId="1195" xr:uid="{00000000-0005-0000-0000-0000390A0000}"/>
    <cellStyle name="Процентный 4 2 2" xfId="1196" xr:uid="{00000000-0005-0000-0000-00003A0A0000}"/>
    <cellStyle name="Процентный 5" xfId="1197" xr:uid="{00000000-0005-0000-0000-00003B0A0000}"/>
    <cellStyle name="Процентный 5 2" xfId="1198" xr:uid="{00000000-0005-0000-0000-00003C0A0000}"/>
    <cellStyle name="Процентный 6" xfId="1199" xr:uid="{00000000-0005-0000-0000-00003D0A0000}"/>
    <cellStyle name="Процентный 7" xfId="1200" xr:uid="{00000000-0005-0000-0000-00003E0A0000}"/>
    <cellStyle name="Процентный 8" xfId="1201" xr:uid="{00000000-0005-0000-0000-00003F0A0000}"/>
    <cellStyle name="Процентный 9" xfId="1202" xr:uid="{00000000-0005-0000-0000-0000400A0000}"/>
    <cellStyle name="Процентный 9 2" xfId="1203" xr:uid="{00000000-0005-0000-0000-0000410A0000}"/>
    <cellStyle name="Процентный 9 2 2" xfId="1204" xr:uid="{00000000-0005-0000-0000-0000420A0000}"/>
    <cellStyle name="Процентный 9 3" xfId="1205" xr:uid="{00000000-0005-0000-0000-0000430A0000}"/>
    <cellStyle name="Разница" xfId="1206" xr:uid="{00000000-0005-0000-0000-0000440A0000}"/>
    <cellStyle name="Разница 2" xfId="1207" xr:uid="{00000000-0005-0000-0000-0000450A0000}"/>
    <cellStyle name="Сводная таблица" xfId="1208" xr:uid="{00000000-0005-0000-0000-0000460A0000}"/>
    <cellStyle name="Связанная ячейка 2" xfId="1209" xr:uid="{00000000-0005-0000-0000-0000470A0000}"/>
    <cellStyle name="смр" xfId="1210" xr:uid="{00000000-0005-0000-0000-0000480A0000}"/>
    <cellStyle name="Стиль 1" xfId="1211" xr:uid="{00000000-0005-0000-0000-0000490A0000}"/>
    <cellStyle name="Стиль 2" xfId="1212" xr:uid="{00000000-0005-0000-0000-00004A0A0000}"/>
    <cellStyle name="Стиль ПЭО" xfId="1213" xr:uid="{00000000-0005-0000-0000-00004B0A0000}"/>
    <cellStyle name="Стиль ПЭО 2" xfId="1214" xr:uid="{00000000-0005-0000-0000-00004C0A0000}"/>
    <cellStyle name="Субсчет" xfId="1215" xr:uid="{00000000-0005-0000-0000-00004D0A0000}"/>
    <cellStyle name="Счет" xfId="1216" xr:uid="{00000000-0005-0000-0000-00004E0A0000}"/>
    <cellStyle name="ТЕКСТ" xfId="1217" xr:uid="{00000000-0005-0000-0000-00004F0A0000}"/>
    <cellStyle name="Текст предупреждения 2" xfId="1218" xr:uid="{00000000-0005-0000-0000-0000500A0000}"/>
    <cellStyle name="Текстовый" xfId="1219" xr:uid="{00000000-0005-0000-0000-0000510A0000}"/>
    <cellStyle name="Тень" xfId="1220" xr:uid="{00000000-0005-0000-0000-0000520A0000}"/>
    <cellStyle name="тонны" xfId="1221" xr:uid="{00000000-0005-0000-0000-0000530A0000}"/>
    <cellStyle name="Тысячи [0]_01.01.98" xfId="1222" xr:uid="{00000000-0005-0000-0000-0000540A0000}"/>
    <cellStyle name="Тысячи [а]" xfId="1223" xr:uid="{00000000-0005-0000-0000-0000550A0000}"/>
    <cellStyle name="Тысячи![0]_Цены 95г._Расчет ТП на февраль_Расчет ТП на февраль посл.._Расчет ТП на май" xfId="1225" xr:uid="{00000000-0005-0000-0000-0000560A0000}"/>
    <cellStyle name="Тысячи_01.01.98" xfId="1224" xr:uid="{00000000-0005-0000-0000-0000570A0000}"/>
    <cellStyle name="уe0" xfId="1226" xr:uid="{00000000-0005-0000-0000-0000580A0000}"/>
    <cellStyle name="Финансовый" xfId="1227" builtinId="3"/>
    <cellStyle name="Финансовый 10" xfId="1228" xr:uid="{00000000-0005-0000-0000-00005A0A0000}"/>
    <cellStyle name="Финансовый 10 2" xfId="1229" xr:uid="{00000000-0005-0000-0000-00005B0A0000}"/>
    <cellStyle name="Финансовый 10 2 2" xfId="1230" xr:uid="{00000000-0005-0000-0000-00005C0A0000}"/>
    <cellStyle name="Финансовый 10 3" xfId="1231" xr:uid="{00000000-0005-0000-0000-00005D0A0000}"/>
    <cellStyle name="Финансовый 11" xfId="1232" xr:uid="{00000000-0005-0000-0000-00005E0A0000}"/>
    <cellStyle name="Финансовый 11 2" xfId="1233" xr:uid="{00000000-0005-0000-0000-00005F0A0000}"/>
    <cellStyle name="Финансовый 11 2 2" xfId="1234" xr:uid="{00000000-0005-0000-0000-0000600A0000}"/>
    <cellStyle name="Финансовый 11 3" xfId="1235" xr:uid="{00000000-0005-0000-0000-0000610A0000}"/>
    <cellStyle name="Финансовый 12" xfId="1236" xr:uid="{00000000-0005-0000-0000-0000620A0000}"/>
    <cellStyle name="Финансовый 12 2" xfId="1237" xr:uid="{00000000-0005-0000-0000-0000630A0000}"/>
    <cellStyle name="Финансовый 13" xfId="1238" xr:uid="{00000000-0005-0000-0000-0000640A0000}"/>
    <cellStyle name="Финансовый 13 2" xfId="1239" xr:uid="{00000000-0005-0000-0000-0000650A0000}"/>
    <cellStyle name="Финансовый 13 2 2" xfId="1240" xr:uid="{00000000-0005-0000-0000-0000660A0000}"/>
    <cellStyle name="Финансовый 13 3" xfId="1241" xr:uid="{00000000-0005-0000-0000-0000670A0000}"/>
    <cellStyle name="Финансовый 14" xfId="1242" xr:uid="{00000000-0005-0000-0000-0000680A0000}"/>
    <cellStyle name="Финансовый 14 2" xfId="1243" xr:uid="{00000000-0005-0000-0000-0000690A0000}"/>
    <cellStyle name="Финансовый 14 2 2" xfId="1244" xr:uid="{00000000-0005-0000-0000-00006A0A0000}"/>
    <cellStyle name="Финансовый 14 3" xfId="1245" xr:uid="{00000000-0005-0000-0000-00006B0A0000}"/>
    <cellStyle name="Финансовый 15" xfId="1246" xr:uid="{00000000-0005-0000-0000-00006C0A0000}"/>
    <cellStyle name="Финансовый 16" xfId="1247" xr:uid="{00000000-0005-0000-0000-00006D0A0000}"/>
    <cellStyle name="Финансовый 17" xfId="2760" xr:uid="{00000000-0005-0000-0000-00006E0A0000}"/>
    <cellStyle name="Финансовый 2" xfId="1248" xr:uid="{00000000-0005-0000-0000-00006F0A0000}"/>
    <cellStyle name="Финансовый 2 10" xfId="1249" xr:uid="{00000000-0005-0000-0000-0000700A0000}"/>
    <cellStyle name="Финансовый 2 11" xfId="1250" xr:uid="{00000000-0005-0000-0000-0000710A0000}"/>
    <cellStyle name="Финансовый 2 12" xfId="1251" xr:uid="{00000000-0005-0000-0000-0000720A0000}"/>
    <cellStyle name="Финансовый 2 13" xfId="1252" xr:uid="{00000000-0005-0000-0000-0000730A0000}"/>
    <cellStyle name="Финансовый 2 14" xfId="1253" xr:uid="{00000000-0005-0000-0000-0000740A0000}"/>
    <cellStyle name="Финансовый 2 14 2" xfId="1254" xr:uid="{00000000-0005-0000-0000-0000750A0000}"/>
    <cellStyle name="Финансовый 2 15" xfId="1255" xr:uid="{00000000-0005-0000-0000-0000760A0000}"/>
    <cellStyle name="Финансовый 2 16" xfId="1256" xr:uid="{00000000-0005-0000-0000-0000770A0000}"/>
    <cellStyle name="Финансовый 2 16 2" xfId="1257" xr:uid="{00000000-0005-0000-0000-0000780A0000}"/>
    <cellStyle name="Финансовый 2 17" xfId="1258" xr:uid="{00000000-0005-0000-0000-0000790A0000}"/>
    <cellStyle name="Финансовый 2 17 2" xfId="1259" xr:uid="{00000000-0005-0000-0000-00007A0A0000}"/>
    <cellStyle name="Финансовый 2 18" xfId="1260" xr:uid="{00000000-0005-0000-0000-00007B0A0000}"/>
    <cellStyle name="Финансовый 2 2" xfId="1261" xr:uid="{00000000-0005-0000-0000-00007C0A0000}"/>
    <cellStyle name="Финансовый 2 3" xfId="1262" xr:uid="{00000000-0005-0000-0000-00007D0A0000}"/>
    <cellStyle name="Финансовый 2 4" xfId="1263" xr:uid="{00000000-0005-0000-0000-00007E0A0000}"/>
    <cellStyle name="Финансовый 2 5" xfId="1264" xr:uid="{00000000-0005-0000-0000-00007F0A0000}"/>
    <cellStyle name="Финансовый 2 6" xfId="1265" xr:uid="{00000000-0005-0000-0000-0000800A0000}"/>
    <cellStyle name="Финансовый 2 7" xfId="1266" xr:uid="{00000000-0005-0000-0000-0000810A0000}"/>
    <cellStyle name="Финансовый 2 8" xfId="1267" xr:uid="{00000000-0005-0000-0000-0000820A0000}"/>
    <cellStyle name="Финансовый 2 9" xfId="1268" xr:uid="{00000000-0005-0000-0000-0000830A0000}"/>
    <cellStyle name="Финансовый 3" xfId="1269" xr:uid="{00000000-0005-0000-0000-0000840A0000}"/>
    <cellStyle name="Финансовый 3 2" xfId="1270" xr:uid="{00000000-0005-0000-0000-0000850A0000}"/>
    <cellStyle name="Финансовый 3 3" xfId="1271" xr:uid="{00000000-0005-0000-0000-0000860A0000}"/>
    <cellStyle name="Финансовый 3 4" xfId="1272" xr:uid="{00000000-0005-0000-0000-0000870A0000}"/>
    <cellStyle name="Финансовый 3 4 2" xfId="1273" xr:uid="{00000000-0005-0000-0000-0000880A0000}"/>
    <cellStyle name="Финансовый 3 5" xfId="1274" xr:uid="{00000000-0005-0000-0000-0000890A0000}"/>
    <cellStyle name="Финансовый 3 5 2" xfId="1275" xr:uid="{00000000-0005-0000-0000-00008A0A0000}"/>
    <cellStyle name="Финансовый 3 6" xfId="1276" xr:uid="{00000000-0005-0000-0000-00008B0A0000}"/>
    <cellStyle name="Финансовый 3_TheModel_30_2012" xfId="1277" xr:uid="{00000000-0005-0000-0000-00008C0A0000}"/>
    <cellStyle name="Финансовый 4" xfId="1278" xr:uid="{00000000-0005-0000-0000-00008D0A0000}"/>
    <cellStyle name="Финансовый 4 10" xfId="1279" xr:uid="{00000000-0005-0000-0000-00008E0A0000}"/>
    <cellStyle name="Финансовый 4 11" xfId="1280" xr:uid="{00000000-0005-0000-0000-00008F0A0000}"/>
    <cellStyle name="Финансовый 4 12" xfId="1281" xr:uid="{00000000-0005-0000-0000-0000900A0000}"/>
    <cellStyle name="Финансовый 4 13" xfId="1282" xr:uid="{00000000-0005-0000-0000-0000910A0000}"/>
    <cellStyle name="Финансовый 4 2" xfId="1283" xr:uid="{00000000-0005-0000-0000-0000920A0000}"/>
    <cellStyle name="Финансовый 4 2 2" xfId="1284" xr:uid="{00000000-0005-0000-0000-0000930A0000}"/>
    <cellStyle name="Финансовый 4 2 2 2" xfId="1285" xr:uid="{00000000-0005-0000-0000-0000940A0000}"/>
    <cellStyle name="Финансовый 4 2 2 2 2" xfId="1286" xr:uid="{00000000-0005-0000-0000-0000950A0000}"/>
    <cellStyle name="Финансовый 4 2 2 3" xfId="1287" xr:uid="{00000000-0005-0000-0000-0000960A0000}"/>
    <cellStyle name="Финансовый 4 2 3" xfId="1288" xr:uid="{00000000-0005-0000-0000-0000970A0000}"/>
    <cellStyle name="Финансовый 4 2 3 2" xfId="1289" xr:uid="{00000000-0005-0000-0000-0000980A0000}"/>
    <cellStyle name="Финансовый 4 2 4" xfId="1290" xr:uid="{00000000-0005-0000-0000-0000990A0000}"/>
    <cellStyle name="Финансовый 4 3" xfId="1291" xr:uid="{00000000-0005-0000-0000-00009A0A0000}"/>
    <cellStyle name="Финансовый 4 4" xfId="1292" xr:uid="{00000000-0005-0000-0000-00009B0A0000}"/>
    <cellStyle name="Финансовый 4 5" xfId="1293" xr:uid="{00000000-0005-0000-0000-00009C0A0000}"/>
    <cellStyle name="Финансовый 4 6" xfId="1294" xr:uid="{00000000-0005-0000-0000-00009D0A0000}"/>
    <cellStyle name="Финансовый 4 7" xfId="1295" xr:uid="{00000000-0005-0000-0000-00009E0A0000}"/>
    <cellStyle name="Финансовый 4 8" xfId="1296" xr:uid="{00000000-0005-0000-0000-00009F0A0000}"/>
    <cellStyle name="Финансовый 4 9" xfId="1297" xr:uid="{00000000-0005-0000-0000-0000A00A0000}"/>
    <cellStyle name="Финансовый 5" xfId="1298" xr:uid="{00000000-0005-0000-0000-0000A10A0000}"/>
    <cellStyle name="Финансовый 5 2" xfId="1299" xr:uid="{00000000-0005-0000-0000-0000A20A0000}"/>
    <cellStyle name="Финансовый 5 2 2" xfId="1300" xr:uid="{00000000-0005-0000-0000-0000A30A0000}"/>
    <cellStyle name="Финансовый 5 2 2 2" xfId="1301" xr:uid="{00000000-0005-0000-0000-0000A40A0000}"/>
    <cellStyle name="Финансовый 5 2 3" xfId="1302" xr:uid="{00000000-0005-0000-0000-0000A50A0000}"/>
    <cellStyle name="Финансовый 5 3" xfId="1303" xr:uid="{00000000-0005-0000-0000-0000A60A0000}"/>
    <cellStyle name="Финансовый 5 3 2" xfId="1304" xr:uid="{00000000-0005-0000-0000-0000A70A0000}"/>
    <cellStyle name="Финансовый 5 4" xfId="1305" xr:uid="{00000000-0005-0000-0000-0000A80A0000}"/>
    <cellStyle name="Финансовый 6" xfId="1306" xr:uid="{00000000-0005-0000-0000-0000A90A0000}"/>
    <cellStyle name="Финансовый 7" xfId="1307" xr:uid="{00000000-0005-0000-0000-0000AA0A0000}"/>
    <cellStyle name="Финансовый 7 2" xfId="1308" xr:uid="{00000000-0005-0000-0000-0000AB0A0000}"/>
    <cellStyle name="Финансовый 8" xfId="1309" xr:uid="{00000000-0005-0000-0000-0000AC0A0000}"/>
    <cellStyle name="Финансовый 8 2" xfId="1310" xr:uid="{00000000-0005-0000-0000-0000AD0A0000}"/>
    <cellStyle name="Финансовый 9" xfId="1311" xr:uid="{00000000-0005-0000-0000-0000AE0A0000}"/>
    <cellStyle name="Финансовый 9 2" xfId="1312" xr:uid="{00000000-0005-0000-0000-0000AF0A0000}"/>
    <cellStyle name="Финансовый 9 2 2" xfId="1313" xr:uid="{00000000-0005-0000-0000-0000B00A0000}"/>
    <cellStyle name="Финансовый 9 3" xfId="1314" xr:uid="{00000000-0005-0000-0000-0000B10A0000}"/>
    <cellStyle name="Финансовый0[0]_FU_bal" xfId="1315" xr:uid="{00000000-0005-0000-0000-0000B20A0000}"/>
    <cellStyle name="ФинУпр" xfId="1316" xr:uid="{00000000-0005-0000-0000-0000B30A0000}"/>
    <cellStyle name="ФинУпр [0]" xfId="1317" xr:uid="{00000000-0005-0000-0000-0000B40A0000}"/>
    <cellStyle name="Формула" xfId="1318" xr:uid="{00000000-0005-0000-0000-0000B50A0000}"/>
    <cellStyle name="ФормулаВБ" xfId="1319" xr:uid="{00000000-0005-0000-0000-0000B60A0000}"/>
    <cellStyle name="ФормулаНаКонтроль" xfId="1320" xr:uid="{00000000-0005-0000-0000-0000B70A0000}"/>
    <cellStyle name="ФормулаНаКонтроль 2" xfId="1321" xr:uid="{00000000-0005-0000-0000-0000B80A0000}"/>
    <cellStyle name="Хороший 2" xfId="1322" xr:uid="{00000000-0005-0000-0000-0000B90A0000}"/>
    <cellStyle name="Цена_продукта" xfId="1323" xr:uid="{00000000-0005-0000-0000-0000BA0A0000}"/>
    <cellStyle name="Џђћ–…ќ’ќ›‰" xfId="1324" xr:uid="{00000000-0005-0000-0000-0000BB0A0000}"/>
    <cellStyle name="Шапка" xfId="1325" xr:uid="{00000000-0005-0000-0000-0000BC0A0000}"/>
    <cellStyle name="Шапка 2" xfId="1326" xr:uid="{00000000-0005-0000-0000-0000BD0A0000}"/>
    <cellStyle name="ШАУ" xfId="1327" xr:uid="{00000000-0005-0000-0000-0000BE0A0000}"/>
    <cellStyle name="ШАУ 2" xfId="1328" xr:uid="{00000000-0005-0000-0000-0000BF0A0000}"/>
    <cellStyle name="Шт" xfId="1329" xr:uid="{00000000-0005-0000-0000-0000C00A0000}"/>
    <cellStyle name="桁区切り 2" xfId="2750" xr:uid="{00000000-0005-0000-0000-0000C10A0000}"/>
    <cellStyle name="標準 2" xfId="2751" xr:uid="{00000000-0005-0000-0000-0000C20A0000}"/>
    <cellStyle name="標準 3" xfId="2752" xr:uid="{00000000-0005-0000-0000-0000C30A0000}"/>
    <cellStyle name="標準_PL-CF sheet" xfId="2753" xr:uid="{00000000-0005-0000-0000-0000C40A0000}"/>
    <cellStyle name="㼿㼿㼿㼿㼿㼿㼿㼿㼿?" xfId="2754" xr:uid="{00000000-0005-0000-0000-0000C50A0000}"/>
    <cellStyle name="䁺_x0001_" xfId="2755" xr:uid="{00000000-0005-0000-0000-0000C60A0000}"/>
    <cellStyle name="䁺_x0001_ 2" xfId="2756" xr:uid="{00000000-0005-0000-0000-0000C70A0000}"/>
    <cellStyle name="䁺_x0001_ 3" xfId="2757" xr:uid="{00000000-0005-0000-0000-0000C80A0000}"/>
    <cellStyle name="䁺_x0001__Анализ индикаторов на обесценение ИРРАО" xfId="2758" xr:uid="{00000000-0005-0000-0000-0000C90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0</xdr:colOff>
      <xdr:row>154</xdr:row>
      <xdr:rowOff>0</xdr:rowOff>
    </xdr:from>
    <xdr:to>
      <xdr:col>37</xdr:col>
      <xdr:colOff>304800</xdr:colOff>
      <xdr:row>155</xdr:row>
      <xdr:rowOff>113391</xdr:rowOff>
    </xdr:to>
    <xdr:sp macro="" textlink="">
      <xdr:nvSpPr>
        <xdr:cNvPr id="2" name="AutoShape 1" descr="data:image/gif;base64,R0lGODlhEAAQAMQAAP/rr43H+d65LdaoFyNes/r895O33keK2Xa6+v/bRzmA0f/7mP3VM//2x/ncff3gZK9yEv3ojFin873f/G+g33Gv6me0//cYAFCZ5d62AM6iCGOq77V9CABJtSFpxgAAACH5BAEAAB8ALAAAAAAQABAAAAWD4CeOXxAgSLVto6O9zlZMtIkconbtmuf/Cgmm89EIjkgk52OoEAeLRmNBpT6WhsBzUWgAIo4HI4PVfqBe8CMxLm/TYTaZaUZ/14w2/RkRDP4vGnNNRBwQhxA/PxQVEkQkHzIWFigIEgqQIxseBJ0Ej5mQK6EkGBQUGAcHCqCQGDWWQyEAOw==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8651200" y="34239200"/>
          <a:ext cx="304800" cy="298450"/>
        </a:xfrm>
        <a:prstGeom prst="rect">
          <a:avLst/>
        </a:prstGeom>
        <a:noFill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2</xdr:row>
      <xdr:rowOff>0</xdr:rowOff>
    </xdr:from>
    <xdr:to>
      <xdr:col>17</xdr:col>
      <xdr:colOff>309559</xdr:colOff>
      <xdr:row>2</xdr:row>
      <xdr:rowOff>67452</xdr:rowOff>
    </xdr:to>
    <xdr:sp macro="" textlink="">
      <xdr:nvSpPr>
        <xdr:cNvPr id="2" name="AutoShape 1" descr="data:image/gif;base64,R0lGODlhEAAQAMQAAP/rr43H+d65LdaoFyNes/r895O33keK2Xa6+v/bRzmA0f/7mP3VM//2x/ncff3gZK9yEv3ojFin873f/G+g33Gv6me0//cYAFCZ5d62AM6iCGOq77V9CABJtSFpxgAAACH5BAEAAB8ALAAAAAAQABAAAAWD4CeOXxAgSLVto6O9zlZMtIkconbtmuf/Cgmm89EIjkgk52OoEAeLRmNBpT6WhsBzUWgAIo4HI4PVfqBe8CMxLm/TYTaZaUZ/14w2/RkRDP4vGnNNRBwQhxA/PxQVEkQkHzIWFigIEgqQIxseBJ0Ej5mQK6EkGBQUGAcHCqCQGDWWQyEAOw==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111920" y="0"/>
          <a:ext cx="309559" cy="303884"/>
        </a:xfrm>
        <a:prstGeom prst="rect">
          <a:avLst/>
        </a:prstGeom>
        <a:noFill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13</xdr:col>
      <xdr:colOff>456000</xdr:colOff>
      <xdr:row>26</xdr:row>
      <xdr:rowOff>161547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600" y="2667000"/>
          <a:ext cx="9590476" cy="301904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nstantinov_aa" id="{4D91DA64-364F-D5D4-B004-E9F795B03298}" userId="konstantinov_aa" providerId="Teamlab"/>
  <person displayName="Найдёнова Мария Леоновна" id="{8F8ACD0D-7438-F1A1-259C-9CD51759FC2D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F118" dT="2023-07-18T15:35:23.84Z" personId="{4D91DA64-364F-D5D4-B004-E9F795B03298}" id="{752D2020-69F0-BE11-D555-B862A996DD88}" done="0">
    <text xml:space="preserve">Куда включены затраты на тиражирование платформы?
</text>
  </threadedComment>
  <threadedComment ref="AH118" dT="2023-07-18T15:35:23.84Z" personId="{4D91DA64-364F-D5D4-B004-E9F795B03298}" id="{F74A5E34-4E9E-FB06-F362-7C2065340AE7}" done="0">
    <text xml:space="preserve">Куда включены затраты на тиражирование платформы?
</text>
  </threadedComment>
  <threadedComment ref="V142" dT="2023-07-18T16:19:37.79Z" personId="{4D91DA64-364F-D5D4-B004-E9F795B03298}" id="{F40BF822-099C-2C94-7966-9DCC133824C0}" done="0">
    <text xml:space="preserve">Почему бюджет только у МЭСа и нет у ПСК и остальных по ЮЛ
</text>
  </threadedComment>
  <threadedComment ref="U158" dT="2023-07-19T12:14:44.98Z" personId="{4D91DA64-364F-D5D4-B004-E9F795B03298}" id="{4FE924C2-0A78-42F3-DC06-5033EE49C20B}" done="0">
    <text xml:space="preserve">По дробным значением нужно понимать какая стоимость нормочаса используется.
</text>
  </threadedComment>
  <threadedComment ref="V158" personId="{8F8ACD0D-7438-F1A1-259C-9CD51759FC2D}" id="{71DDFA75-B33C-1E7F-5F4A-6BEF2D280D37}" done="0">
    <text xml:space="preserve">+ 1кв. Из КП 2023
</text>
  </threadedComment>
  <threadedComment ref="F158" personId="{8F8ACD0D-7438-F1A1-259C-9CD51759FC2D}" id="{7B1E125F-361A-3FCC-731F-E7672BF90DF3}" done="0">
    <text xml:space="preserve">2-ое полугодие
</text>
  </threadedComment>
  <threadedComment ref="V159" personId="{8F8ACD0D-7438-F1A1-259C-9CD51759FC2D}" id="{FE055894-88BE-44E4-0B2D-BE0A92D290BF}" done="0">
    <text xml:space="preserve">1кв. Из КП 2023
</text>
  </threadedComment>
  <threadedComment ref="F159" personId="{8F8ACD0D-7438-F1A1-259C-9CD51759FC2D}" id="{B2E7407C-B522-2E4F-B18D-42E0770EA5E9}" done="0">
    <text xml:space="preserve">1кв. Из КП 2022
</text>
  </threadedComment>
  <threadedComment ref="V160" personId="{8F8ACD0D-7438-F1A1-259C-9CD51759FC2D}" id="{3F2FBB58-94DB-6A47-5C7F-4159469258A2}" done="0">
    <text xml:space="preserve">1кв. Из КП 2023
</text>
  </threadedComment>
  <threadedComment ref="F160" personId="{8F8ACD0D-7438-F1A1-259C-9CD51759FC2D}" id="{B9F46029-9575-AB6F-F93C-1ABC73FA6332}" done="0">
    <text xml:space="preserve">1кв. Из КП 2022
</text>
  </threadedComment>
  <threadedComment ref="V161" personId="{8F8ACD0D-7438-F1A1-259C-9CD51759FC2D}" id="{13E99D2B-90A1-9A8F-E029-6B03AD0473A9}" done="0">
    <text xml:space="preserve">+1кв. Из КП 2023
</text>
  </threadedComment>
  <threadedComment ref="F161" personId="{8F8ACD0D-7438-F1A1-259C-9CD51759FC2D}" id="{2AEDA9C5-ABB8-EFCE-E350-863ED32D378C}" done="0">
    <text xml:space="preserve">1кв. Из КП 2022
</text>
  </threadedComment>
  <threadedComment ref="V162" personId="{8F8ACD0D-7438-F1A1-259C-9CD51759FC2D}" id="{F612B3D5-A271-377E-F1E2-07A8E411E6F3}" done="0">
    <text xml:space="preserve">+1кв. Из КП 2023
</text>
  </threadedComment>
  <threadedComment ref="V162" dT="2023-07-06T14:44:34.56Z" personId="{4D91DA64-364F-D5D4-B004-E9F795B03298}" id="{F1D5BE09-F0A6-ED8C-74C9-6820D9475E41}" parentId="{F612B3D5-A271-377E-F1E2-07A8E411E6F3}" done="0">
    <text xml:space="preserve">Почему насктолько увеличилась сумма?
</text>
  </threadedComment>
  <threadedComment ref="F162" personId="{8F8ACD0D-7438-F1A1-259C-9CD51759FC2D}" id="{5E473073-7509-BFE3-C1F6-F5A26EF70472}" done="0">
    <text xml:space="preserve">+1кв. Из КП 2022
</text>
  </threadedComment>
  <threadedComment ref="B165" personId="{8F8ACD0D-7438-F1A1-259C-9CD51759FC2D}" id="{AC01D3F6-4E00-294D-03D0-0D63663EF533}" done="0">
    <text xml:space="preserve">период? 10618,6
исх. № ИСХ-СМ-230526/-22 
</text>
  </threadedComment>
  <threadedComment ref="V171" dT="2023-07-18T16:41:38.67Z" personId="{4D91DA64-364F-D5D4-B004-E9F795B03298}" id="{64765E32-585C-F436-E9C6-C66DE7FEE32C}" done="0">
    <text xml:space="preserve">Откуда брать бюджет на все эти работы?
</text>
  </threadedComment>
  <threadedComment ref="U235" dT="2023-07-19T12:15:08.01Z" personId="{4D91DA64-364F-D5D4-B004-E9F795B03298}" id="{F43C64EA-0D9F-2DB7-C28A-D3DD40C65348}" done="0">
    <text xml:space="preserve">Нужны цифры
</text>
  </threadedComment>
  <threadedComment ref="U77" dT="2023-07-18T16:38:39.89Z" personId="{4D91DA64-364F-D5D4-B004-E9F795B03298}" id="{B827EFD2-9FD4-F1C7-FDC3-38321D1636C1}" done="0">
    <text xml:space="preserve">Почему дробное значение?
</text>
  </threadedComment>
  <threadedComment ref="U82" dT="2023-07-18T16:40:01.21Z" personId="{4D91DA64-364F-D5D4-B004-E9F795B03298}" id="{0EF3194B-B221-6082-05BD-9EDA6CBB129C}" done="0">
    <text xml:space="preserve">Двойной бюджет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30"/>
  <sheetViews>
    <sheetView zoomScale="70" workbookViewId="0">
      <pane xSplit="1" ySplit="13" topLeftCell="B14" activePane="bottomRight" state="frozen"/>
      <selection activeCell="B14" sqref="B14"/>
      <selection pane="topRight"/>
      <selection pane="bottomLeft"/>
      <selection pane="bottomRight" activeCell="B14" sqref="B14"/>
    </sheetView>
  </sheetViews>
  <sheetFormatPr defaultColWidth="8.85546875" defaultRowHeight="13.5" customHeight="1" outlineLevelRow="1"/>
  <cols>
    <col min="1" max="1" width="4.7109375" customWidth="1"/>
    <col min="2" max="2" width="65" customWidth="1"/>
    <col min="3" max="3" width="18.140625" style="21" hidden="1" customWidth="1"/>
    <col min="4" max="4" width="24" style="22" hidden="1" customWidth="1"/>
    <col min="5" max="5" width="15.7109375" style="23" hidden="1" customWidth="1"/>
    <col min="6" max="6" width="20.140625" style="23" hidden="1" customWidth="1"/>
    <col min="7" max="7" width="31.28515625" style="24" hidden="1" customWidth="1"/>
    <col min="8" max="8" width="13.7109375" style="25" hidden="1" customWidth="1"/>
    <col min="9" max="9" width="27.42578125" style="26" hidden="1" customWidth="1"/>
    <col min="10" max="10" width="14.140625" style="26" bestFit="1" customWidth="1"/>
    <col min="11" max="11" width="19.7109375" style="26" customWidth="1"/>
    <col min="12" max="12" width="14.140625" style="26" customWidth="1"/>
    <col min="13" max="13" width="19.7109375" style="26" customWidth="1"/>
    <col min="14" max="14" width="14.140625" style="26" customWidth="1"/>
    <col min="15" max="15" width="19.7109375" style="26" customWidth="1"/>
    <col min="16" max="16" width="14.140625" style="26" customWidth="1"/>
    <col min="17" max="17" width="19.7109375" style="26" customWidth="1"/>
    <col min="18" max="18" width="14.140625" style="26" customWidth="1"/>
    <col min="19" max="19" width="19.7109375" style="26" customWidth="1"/>
    <col min="20" max="20" width="14.140625" style="26" customWidth="1"/>
    <col min="21" max="21" width="23.28515625" style="26" customWidth="1"/>
    <col min="22" max="22" width="24.140625" style="26" hidden="1" customWidth="1"/>
    <col min="23" max="23" width="27.28515625" hidden="1" customWidth="1"/>
    <col min="24" max="24" width="15.85546875" customWidth="1"/>
    <col min="25" max="25" width="8.85546875" customWidth="1"/>
    <col min="26" max="26" width="11.140625" customWidth="1"/>
    <col min="27" max="27" width="9.7109375" customWidth="1"/>
    <col min="28" max="28" width="15.85546875" customWidth="1"/>
  </cols>
  <sheetData>
    <row r="1" spans="1:35" ht="13.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8" t="s">
        <v>46</v>
      </c>
      <c r="T1" s="29" t="s">
        <v>47</v>
      </c>
      <c r="U1" s="29">
        <v>3205</v>
      </c>
      <c r="V1" s="1"/>
      <c r="X1" s="28">
        <v>2025</v>
      </c>
      <c r="Y1" s="29" t="s">
        <v>47</v>
      </c>
      <c r="Z1" s="29">
        <v>3520</v>
      </c>
      <c r="AA1" s="28" t="s">
        <v>48</v>
      </c>
      <c r="AB1" s="29" t="s">
        <v>47</v>
      </c>
      <c r="AC1" s="29">
        <v>3836</v>
      </c>
      <c r="AD1" s="28">
        <v>2027</v>
      </c>
      <c r="AE1" s="29" t="s">
        <v>47</v>
      </c>
      <c r="AF1" s="29">
        <v>4162</v>
      </c>
      <c r="AG1" s="28">
        <v>2028</v>
      </c>
      <c r="AH1" s="29" t="s">
        <v>47</v>
      </c>
      <c r="AI1" s="29">
        <v>4508</v>
      </c>
    </row>
    <row r="2" spans="1:35" ht="13.5" customHeight="1">
      <c r="A2" s="2"/>
      <c r="B2" s="3"/>
      <c r="H2" s="30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49</v>
      </c>
      <c r="U2" s="28"/>
      <c r="V2" s="28"/>
      <c r="X2" s="28"/>
      <c r="Y2" s="28" t="s">
        <v>49</v>
      </c>
      <c r="Z2" s="28"/>
      <c r="AA2" s="28"/>
      <c r="AB2" s="28" t="s">
        <v>49</v>
      </c>
      <c r="AC2" s="28"/>
      <c r="AD2" s="28"/>
      <c r="AE2" s="28" t="s">
        <v>49</v>
      </c>
      <c r="AF2" s="28"/>
      <c r="AG2" s="28"/>
      <c r="AH2" s="28" t="s">
        <v>49</v>
      </c>
      <c r="AI2" s="28"/>
    </row>
    <row r="3" spans="1:35" ht="13.5" customHeight="1">
      <c r="A3" s="2"/>
      <c r="B3" s="3"/>
      <c r="H3" s="30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 t="s">
        <v>50</v>
      </c>
      <c r="U3" s="28"/>
      <c r="V3" s="28"/>
      <c r="X3" s="28"/>
      <c r="Y3" s="28" t="s">
        <v>50</v>
      </c>
      <c r="Z3" s="28"/>
      <c r="AA3" s="28"/>
      <c r="AB3" s="28" t="s">
        <v>50</v>
      </c>
      <c r="AC3" s="28"/>
      <c r="AD3" s="28"/>
      <c r="AE3" s="28" t="s">
        <v>50</v>
      </c>
      <c r="AF3" s="28"/>
      <c r="AG3" s="28"/>
      <c r="AH3" s="28" t="s">
        <v>50</v>
      </c>
      <c r="AI3" s="28"/>
    </row>
    <row r="4" spans="1:35" ht="13.5" customHeight="1">
      <c r="A4" s="2"/>
      <c r="B4" s="3"/>
      <c r="H4" s="30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 t="s">
        <v>51</v>
      </c>
      <c r="U4" s="28"/>
      <c r="V4" s="28"/>
      <c r="X4" s="28"/>
      <c r="Y4" s="28" t="s">
        <v>51</v>
      </c>
      <c r="Z4" s="28"/>
      <c r="AA4" s="28"/>
      <c r="AB4" s="28" t="s">
        <v>51</v>
      </c>
      <c r="AC4" s="28"/>
      <c r="AD4" s="28"/>
      <c r="AE4" s="28" t="s">
        <v>51</v>
      </c>
      <c r="AF4" s="28"/>
      <c r="AG4" s="28"/>
      <c r="AH4" s="28" t="s">
        <v>51</v>
      </c>
      <c r="AI4" s="28"/>
    </row>
    <row r="5" spans="1:35" ht="13.5" customHeight="1">
      <c r="A5" s="364" t="s">
        <v>52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4"/>
    </row>
    <row r="6" spans="1:35" ht="13.5" customHeight="1">
      <c r="A6" s="365"/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4">
        <v>2922</v>
      </c>
    </row>
    <row r="7" spans="1:35" ht="13.5" customHeight="1">
      <c r="A7" s="365"/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4"/>
    </row>
    <row r="8" spans="1:35" ht="13.5" customHeight="1">
      <c r="A8" s="365"/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4"/>
    </row>
    <row r="9" spans="1:35" ht="13.5" customHeight="1">
      <c r="A9" s="365"/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5"/>
      <c r="R9" s="365"/>
      <c r="S9" s="365"/>
      <c r="T9" s="365"/>
      <c r="U9" s="365"/>
      <c r="V9" s="4"/>
    </row>
    <row r="10" spans="1:35" ht="13.5" customHeight="1">
      <c r="A10" s="365"/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4"/>
    </row>
    <row r="11" spans="1:35" ht="13.5" customHeight="1">
      <c r="A11" s="365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4"/>
    </row>
    <row r="12" spans="1:35" ht="13.5" customHeight="1">
      <c r="A12" s="366"/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4"/>
    </row>
    <row r="13" spans="1:35" ht="59.25" customHeight="1">
      <c r="A13" s="367"/>
      <c r="B13" s="367"/>
      <c r="C13" s="31" t="s">
        <v>53</v>
      </c>
      <c r="D13" s="32">
        <v>2022</v>
      </c>
      <c r="E13" s="33" t="s">
        <v>54</v>
      </c>
      <c r="F13" s="33" t="s">
        <v>55</v>
      </c>
      <c r="G13" s="34" t="s">
        <v>56</v>
      </c>
      <c r="H13" s="35" t="s">
        <v>57</v>
      </c>
      <c r="I13" s="36" t="s">
        <v>58</v>
      </c>
      <c r="J13" s="37" t="s">
        <v>59</v>
      </c>
      <c r="K13" s="36">
        <v>2024</v>
      </c>
      <c r="L13" s="38" t="s">
        <v>60</v>
      </c>
      <c r="M13" s="38">
        <v>2025</v>
      </c>
      <c r="N13" s="38" t="s">
        <v>61</v>
      </c>
      <c r="O13" s="38">
        <v>2026</v>
      </c>
      <c r="P13" s="38" t="s">
        <v>62</v>
      </c>
      <c r="Q13" s="38">
        <v>2027</v>
      </c>
      <c r="R13" s="38" t="s">
        <v>63</v>
      </c>
      <c r="S13" s="38">
        <v>2028</v>
      </c>
      <c r="T13" s="38" t="s">
        <v>64</v>
      </c>
      <c r="U13" s="38" t="s">
        <v>0</v>
      </c>
      <c r="V13" s="39" t="s">
        <v>65</v>
      </c>
      <c r="W13" s="40" t="s">
        <v>66</v>
      </c>
    </row>
    <row r="14" spans="1:35" ht="36" customHeight="1">
      <c r="A14" s="368" t="s">
        <v>67</v>
      </c>
      <c r="B14" s="369" t="s">
        <v>68</v>
      </c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1"/>
      <c r="V14" s="41"/>
    </row>
    <row r="15" spans="1:35" ht="15" customHeight="1" outlineLevel="1">
      <c r="A15" s="368"/>
      <c r="B15" s="42" t="s">
        <v>16</v>
      </c>
      <c r="C15" s="43"/>
      <c r="G15" s="44"/>
      <c r="H15" s="44" t="s">
        <v>69</v>
      </c>
      <c r="I15" s="45"/>
      <c r="J15" s="44"/>
      <c r="K15" s="45"/>
      <c r="L15" s="45"/>
      <c r="M15" s="44"/>
      <c r="N15" s="44"/>
      <c r="O15" s="44"/>
      <c r="P15" s="44"/>
      <c r="Q15" s="44"/>
      <c r="R15" s="44"/>
      <c r="S15" s="44"/>
      <c r="T15" s="46">
        <f t="shared" ref="T15:T25" si="0">SUM(J15,L15,N15,P15,R15)</f>
        <v>0</v>
      </c>
      <c r="U15" s="11">
        <f t="shared" ref="U15:U25" si="1">SUM(K15,M15,O15,Q15,S15)</f>
        <v>0</v>
      </c>
      <c r="V15" s="41"/>
    </row>
    <row r="16" spans="1:35" ht="15" customHeight="1" outlineLevel="1">
      <c r="A16" s="368"/>
      <c r="B16" s="47" t="s">
        <v>4</v>
      </c>
      <c r="C16" s="48">
        <f t="shared" ref="C16:C25" si="2">D16/2500</f>
        <v>406.8</v>
      </c>
      <c r="D16" s="49">
        <v>1017000</v>
      </c>
      <c r="E16" s="50"/>
      <c r="F16" s="50"/>
      <c r="G16" s="51"/>
      <c r="H16" s="52" t="s">
        <v>70</v>
      </c>
      <c r="I16" s="53"/>
      <c r="J16" s="54"/>
      <c r="K16" s="55"/>
      <c r="L16" s="55"/>
      <c r="M16" s="54"/>
      <c r="N16" s="54"/>
      <c r="O16" s="54"/>
      <c r="P16" s="54"/>
      <c r="Q16" s="54"/>
      <c r="R16" s="54"/>
      <c r="S16" s="54"/>
      <c r="T16" s="46">
        <f t="shared" si="0"/>
        <v>0</v>
      </c>
      <c r="U16" s="11">
        <f t="shared" si="1"/>
        <v>0</v>
      </c>
      <c r="V16" s="41"/>
    </row>
    <row r="17" spans="1:23" ht="15" customHeight="1" outlineLevel="1">
      <c r="A17" s="368"/>
      <c r="B17" s="47" t="s">
        <v>5</v>
      </c>
      <c r="C17" s="48">
        <f t="shared" si="2"/>
        <v>165.2</v>
      </c>
      <c r="D17" s="49">
        <v>413000</v>
      </c>
      <c r="E17" s="50"/>
      <c r="F17" s="50"/>
      <c r="G17" s="51"/>
      <c r="H17" s="52" t="s">
        <v>71</v>
      </c>
      <c r="I17" s="53"/>
      <c r="J17" s="54"/>
      <c r="K17" s="55"/>
      <c r="L17" s="55"/>
      <c r="M17" s="54"/>
      <c r="N17" s="54"/>
      <c r="O17" s="54"/>
      <c r="P17" s="54"/>
      <c r="Q17" s="54"/>
      <c r="R17" s="54"/>
      <c r="S17" s="54"/>
      <c r="T17" s="46">
        <f t="shared" si="0"/>
        <v>0</v>
      </c>
      <c r="U17" s="11">
        <f t="shared" si="1"/>
        <v>0</v>
      </c>
      <c r="V17" s="41"/>
    </row>
    <row r="18" spans="1:23" ht="15" customHeight="1" outlineLevel="1">
      <c r="A18" s="368"/>
      <c r="B18" s="47" t="s">
        <v>7</v>
      </c>
      <c r="C18" s="48">
        <f t="shared" si="2"/>
        <v>44</v>
      </c>
      <c r="D18" s="49">
        <v>110000</v>
      </c>
      <c r="E18" s="50"/>
      <c r="F18" s="50"/>
      <c r="G18" s="51"/>
      <c r="H18" s="56" t="s">
        <v>72</v>
      </c>
      <c r="I18" s="53"/>
      <c r="J18" s="54"/>
      <c r="K18" s="55"/>
      <c r="L18" s="55"/>
      <c r="M18" s="54"/>
      <c r="N18" s="54"/>
      <c r="O18" s="54"/>
      <c r="P18" s="54"/>
      <c r="Q18" s="54"/>
      <c r="R18" s="54"/>
      <c r="S18" s="54"/>
      <c r="T18" s="46">
        <f t="shared" si="0"/>
        <v>0</v>
      </c>
      <c r="U18" s="11">
        <f t="shared" si="1"/>
        <v>0</v>
      </c>
      <c r="V18" s="41"/>
    </row>
    <row r="19" spans="1:23" ht="15" customHeight="1" outlineLevel="1">
      <c r="A19" s="368"/>
      <c r="B19" s="47" t="s">
        <v>8</v>
      </c>
      <c r="C19" s="48">
        <f t="shared" si="2"/>
        <v>71.599999999999994</v>
      </c>
      <c r="D19" s="49">
        <v>179000</v>
      </c>
      <c r="E19" s="50"/>
      <c r="F19" s="50"/>
      <c r="G19" s="51"/>
      <c r="H19" s="56" t="s">
        <v>72</v>
      </c>
      <c r="I19" s="53"/>
      <c r="J19" s="54"/>
      <c r="K19" s="55"/>
      <c r="L19" s="55"/>
      <c r="M19" s="54"/>
      <c r="N19" s="54"/>
      <c r="O19" s="54"/>
      <c r="P19" s="54"/>
      <c r="Q19" s="54"/>
      <c r="R19" s="54"/>
      <c r="S19" s="54"/>
      <c r="T19" s="46">
        <f t="shared" si="0"/>
        <v>0</v>
      </c>
      <c r="U19" s="11">
        <f t="shared" si="1"/>
        <v>0</v>
      </c>
      <c r="V19" s="41"/>
    </row>
    <row r="20" spans="1:23" ht="15" customHeight="1" outlineLevel="1">
      <c r="A20" s="368"/>
      <c r="B20" s="47" t="s">
        <v>9</v>
      </c>
      <c r="C20" s="48">
        <f t="shared" si="2"/>
        <v>85.664000000000001</v>
      </c>
      <c r="D20" s="49">
        <v>214160</v>
      </c>
      <c r="E20" s="50"/>
      <c r="F20" s="50"/>
      <c r="G20" s="51"/>
      <c r="H20" s="56"/>
      <c r="I20" s="53"/>
      <c r="J20" s="54"/>
      <c r="K20" s="55"/>
      <c r="L20" s="55"/>
      <c r="M20" s="54"/>
      <c r="N20" s="54"/>
      <c r="O20" s="54"/>
      <c r="P20" s="54"/>
      <c r="Q20" s="54"/>
      <c r="R20" s="54"/>
      <c r="S20" s="54"/>
      <c r="T20" s="46">
        <f t="shared" si="0"/>
        <v>0</v>
      </c>
      <c r="U20" s="11">
        <f t="shared" si="1"/>
        <v>0</v>
      </c>
      <c r="V20" s="41"/>
    </row>
    <row r="21" spans="1:23" ht="15" customHeight="1" outlineLevel="1">
      <c r="A21" s="368"/>
      <c r="B21" s="47" t="s">
        <v>10</v>
      </c>
      <c r="C21" s="48">
        <f t="shared" si="2"/>
        <v>105.60080000000001</v>
      </c>
      <c r="D21" s="49">
        <v>264002</v>
      </c>
      <c r="E21" s="50"/>
      <c r="F21" s="50"/>
      <c r="G21" s="51"/>
      <c r="H21" s="56" t="s">
        <v>72</v>
      </c>
      <c r="I21" s="53">
        <v>0</v>
      </c>
      <c r="J21" s="54"/>
      <c r="K21" s="55"/>
      <c r="L21" s="55"/>
      <c r="M21" s="54"/>
      <c r="N21" s="54"/>
      <c r="O21" s="54"/>
      <c r="P21" s="54"/>
      <c r="Q21" s="54"/>
      <c r="R21" s="54"/>
      <c r="S21" s="54"/>
      <c r="T21" s="46">
        <f t="shared" si="0"/>
        <v>0</v>
      </c>
      <c r="U21" s="11">
        <f t="shared" si="1"/>
        <v>0</v>
      </c>
      <c r="V21" s="41"/>
    </row>
    <row r="22" spans="1:23" ht="15" customHeight="1" outlineLevel="1">
      <c r="A22" s="368"/>
      <c r="B22" s="47" t="s">
        <v>11</v>
      </c>
      <c r="C22" s="48">
        <f t="shared" si="2"/>
        <v>101.2</v>
      </c>
      <c r="D22" s="49">
        <v>253000</v>
      </c>
      <c r="E22" s="50"/>
      <c r="F22" s="50"/>
      <c r="G22" s="51"/>
      <c r="H22" s="56" t="s">
        <v>72</v>
      </c>
      <c r="I22" s="53">
        <v>0</v>
      </c>
      <c r="J22" s="54"/>
      <c r="K22" s="55"/>
      <c r="L22" s="55"/>
      <c r="M22" s="54"/>
      <c r="N22" s="54"/>
      <c r="O22" s="54"/>
      <c r="P22" s="54"/>
      <c r="Q22" s="54"/>
      <c r="R22" s="54"/>
      <c r="S22" s="54"/>
      <c r="T22" s="46">
        <f t="shared" si="0"/>
        <v>0</v>
      </c>
      <c r="U22" s="11">
        <f t="shared" si="1"/>
        <v>0</v>
      </c>
      <c r="V22" s="41"/>
    </row>
    <row r="23" spans="1:23" ht="15" customHeight="1" outlineLevel="1">
      <c r="A23" s="368"/>
      <c r="B23" s="47" t="s">
        <v>12</v>
      </c>
      <c r="C23" s="48">
        <f t="shared" si="2"/>
        <v>162.80000000000001</v>
      </c>
      <c r="D23" s="49">
        <v>407000</v>
      </c>
      <c r="E23" s="50"/>
      <c r="F23" s="50"/>
      <c r="G23" s="51"/>
      <c r="H23" s="56" t="s">
        <v>72</v>
      </c>
      <c r="I23" s="53">
        <v>0</v>
      </c>
      <c r="J23" s="54"/>
      <c r="K23" s="55"/>
      <c r="L23" s="55"/>
      <c r="M23" s="54"/>
      <c r="N23" s="54"/>
      <c r="O23" s="54"/>
      <c r="P23" s="54"/>
      <c r="Q23" s="54"/>
      <c r="R23" s="54"/>
      <c r="S23" s="54"/>
      <c r="T23" s="46">
        <f t="shared" si="0"/>
        <v>0</v>
      </c>
      <c r="U23" s="11">
        <f t="shared" si="1"/>
        <v>0</v>
      </c>
      <c r="V23" s="41"/>
    </row>
    <row r="24" spans="1:23" ht="15" customHeight="1" outlineLevel="1">
      <c r="A24" s="368"/>
      <c r="B24" s="47" t="s">
        <v>13</v>
      </c>
      <c r="C24" s="48">
        <f t="shared" si="2"/>
        <v>353.6</v>
      </c>
      <c r="D24" s="49">
        <v>884000</v>
      </c>
      <c r="E24" s="50"/>
      <c r="F24" s="50"/>
      <c r="G24" s="51"/>
      <c r="H24" s="56" t="s">
        <v>72</v>
      </c>
      <c r="I24" s="53">
        <v>0</v>
      </c>
      <c r="J24" s="54"/>
      <c r="K24" s="55"/>
      <c r="L24" s="55"/>
      <c r="M24" s="54"/>
      <c r="N24" s="54"/>
      <c r="O24" s="54"/>
      <c r="P24" s="54"/>
      <c r="Q24" s="54"/>
      <c r="R24" s="54"/>
      <c r="S24" s="54"/>
      <c r="T24" s="46">
        <f t="shared" si="0"/>
        <v>0</v>
      </c>
      <c r="U24" s="11">
        <f t="shared" si="1"/>
        <v>0</v>
      </c>
      <c r="V24" s="41"/>
    </row>
    <row r="25" spans="1:23" ht="15" customHeight="1" outlineLevel="1">
      <c r="A25" s="368"/>
      <c r="B25" s="47" t="s">
        <v>14</v>
      </c>
      <c r="C25" s="48">
        <f t="shared" si="2"/>
        <v>127.6</v>
      </c>
      <c r="D25" s="49">
        <v>319000</v>
      </c>
      <c r="E25" s="50"/>
      <c r="F25" s="50"/>
      <c r="G25" s="51"/>
      <c r="H25" s="56"/>
      <c r="I25" s="53">
        <v>0</v>
      </c>
      <c r="J25" s="54"/>
      <c r="K25" s="55"/>
      <c r="L25" s="55"/>
      <c r="M25" s="54"/>
      <c r="N25" s="54"/>
      <c r="O25" s="54"/>
      <c r="P25" s="54"/>
      <c r="Q25" s="54"/>
      <c r="R25" s="54"/>
      <c r="S25" s="54"/>
      <c r="T25" s="46">
        <f t="shared" si="0"/>
        <v>0</v>
      </c>
      <c r="U25" s="11">
        <f t="shared" si="1"/>
        <v>0</v>
      </c>
      <c r="V25" s="41"/>
    </row>
    <row r="26" spans="1:23" ht="15.75" customHeight="1" outlineLevel="1">
      <c r="A26" s="368"/>
      <c r="B26" s="57" t="s">
        <v>18</v>
      </c>
      <c r="C26" s="58">
        <f>SUM(C15:C25)</f>
        <v>1624.0648000000001</v>
      </c>
      <c r="D26" s="59">
        <f>SUM(D15:D25)</f>
        <v>4060162</v>
      </c>
      <c r="E26" s="50">
        <f t="shared" ref="E26:F39" si="3">SUM(E15:E25)</f>
        <v>0</v>
      </c>
      <c r="F26" s="50">
        <f t="shared" si="3"/>
        <v>0</v>
      </c>
      <c r="G26" s="60">
        <f t="shared" ref="G26:S39" si="4">SUM(G15:G25)</f>
        <v>0</v>
      </c>
      <c r="H26" s="61"/>
      <c r="I26" s="11">
        <f t="shared" si="4"/>
        <v>0</v>
      </c>
      <c r="J26" s="11">
        <f t="shared" si="4"/>
        <v>0</v>
      </c>
      <c r="K26" s="11">
        <f t="shared" si="4"/>
        <v>0</v>
      </c>
      <c r="L26" s="11">
        <f t="shared" si="4"/>
        <v>0</v>
      </c>
      <c r="M26" s="11">
        <f t="shared" si="4"/>
        <v>0</v>
      </c>
      <c r="N26" s="11">
        <f t="shared" si="4"/>
        <v>0</v>
      </c>
      <c r="O26" s="11">
        <f t="shared" si="4"/>
        <v>0</v>
      </c>
      <c r="P26" s="11">
        <f t="shared" si="4"/>
        <v>0</v>
      </c>
      <c r="Q26" s="11">
        <f t="shared" si="4"/>
        <v>0</v>
      </c>
      <c r="R26" s="11">
        <f t="shared" si="4"/>
        <v>0</v>
      </c>
      <c r="S26" s="11">
        <f t="shared" si="4"/>
        <v>0</v>
      </c>
      <c r="T26" s="11">
        <f>SUM(T15:T25)</f>
        <v>0</v>
      </c>
      <c r="U26" s="11">
        <f>SUM(U15:U25)</f>
        <v>0</v>
      </c>
      <c r="V26" s="41"/>
    </row>
    <row r="27" spans="1:23" ht="36" customHeight="1">
      <c r="A27" s="372" t="s">
        <v>3</v>
      </c>
      <c r="B27" s="369" t="s">
        <v>73</v>
      </c>
      <c r="C27" s="370"/>
      <c r="D27" s="370"/>
      <c r="E27" s="370"/>
      <c r="F27" s="370"/>
      <c r="G27" s="370"/>
      <c r="H27" s="370"/>
      <c r="I27" s="370"/>
      <c r="J27" s="370"/>
      <c r="K27" s="370"/>
      <c r="L27" s="370"/>
      <c r="M27" s="370"/>
      <c r="N27" s="370"/>
      <c r="O27" s="370"/>
      <c r="P27" s="370"/>
      <c r="Q27" s="370"/>
      <c r="R27" s="370"/>
      <c r="S27" s="370"/>
      <c r="T27" s="370"/>
      <c r="U27" s="371"/>
      <c r="V27" s="41">
        <f>(F39/D39)*100 -100</f>
        <v>-12.490695300118006</v>
      </c>
    </row>
    <row r="28" spans="1:23" ht="15" customHeight="1" outlineLevel="1">
      <c r="A28" s="372"/>
      <c r="B28" s="42" t="s">
        <v>74</v>
      </c>
      <c r="C28" s="63">
        <v>13353</v>
      </c>
      <c r="D28" s="64">
        <f>C28*2500</f>
        <v>33382500</v>
      </c>
      <c r="E28" s="65">
        <v>12853</v>
      </c>
      <c r="F28" s="64">
        <f t="shared" ref="F28:F38" si="5">E28*$V$6</f>
        <v>37556466</v>
      </c>
      <c r="G28" s="65">
        <v>7273</v>
      </c>
      <c r="H28" s="46" t="s">
        <v>75</v>
      </c>
      <c r="I28" s="66">
        <v>21251706</v>
      </c>
      <c r="J28" s="46">
        <v>7296</v>
      </c>
      <c r="K28" s="45"/>
      <c r="L28" s="67">
        <v>7322</v>
      </c>
      <c r="M28" s="44"/>
      <c r="N28" s="46">
        <v>7281</v>
      </c>
      <c r="O28" s="44"/>
      <c r="P28" s="46">
        <v>7291</v>
      </c>
      <c r="Q28" s="44"/>
      <c r="R28" s="46">
        <v>7291</v>
      </c>
      <c r="S28" s="44"/>
      <c r="T28" s="46">
        <f t="shared" ref="T28:T38" si="6">SUM(J28,L28,N28,P28,R28)</f>
        <v>36481</v>
      </c>
      <c r="U28" s="11">
        <f t="shared" ref="U28:U38" si="7">SUM(K28,M28,O28,Q28,S28)</f>
        <v>0</v>
      </c>
      <c r="V28" s="41">
        <f t="shared" ref="V28:V39" si="8">(E28/C28)*100 -100</f>
        <v>-3.7444768965775523</v>
      </c>
      <c r="W28" s="373" t="s">
        <v>76</v>
      </c>
    </row>
    <row r="29" spans="1:23" ht="15" customHeight="1" outlineLevel="1">
      <c r="A29" s="372"/>
      <c r="B29" s="68" t="s">
        <v>4</v>
      </c>
      <c r="C29" s="69">
        <v>4563</v>
      </c>
      <c r="D29" s="49">
        <v>11681044</v>
      </c>
      <c r="E29" s="70">
        <v>2259</v>
      </c>
      <c r="F29" s="71">
        <f t="shared" si="5"/>
        <v>6600798</v>
      </c>
      <c r="G29" s="72">
        <v>2259</v>
      </c>
      <c r="H29" s="73" t="s">
        <v>75</v>
      </c>
      <c r="I29" s="74">
        <v>6600798</v>
      </c>
      <c r="J29" s="46">
        <v>2259</v>
      </c>
      <c r="K29" s="45"/>
      <c r="L29" s="46">
        <v>2259</v>
      </c>
      <c r="M29" s="44"/>
      <c r="N29" s="46">
        <v>2259</v>
      </c>
      <c r="O29" s="44"/>
      <c r="P29" s="46">
        <v>2259</v>
      </c>
      <c r="Q29" s="44"/>
      <c r="R29" s="46">
        <v>2259</v>
      </c>
      <c r="S29" s="44"/>
      <c r="T29" s="46">
        <f t="shared" si="6"/>
        <v>11295</v>
      </c>
      <c r="U29" s="11">
        <f t="shared" si="7"/>
        <v>0</v>
      </c>
      <c r="V29" s="41">
        <f t="shared" si="8"/>
        <v>-50.493096646942803</v>
      </c>
      <c r="W29" s="373"/>
    </row>
    <row r="30" spans="1:23" ht="15" customHeight="1" outlineLevel="1">
      <c r="A30" s="372"/>
      <c r="B30" s="68" t="s">
        <v>5</v>
      </c>
      <c r="C30" s="69">
        <v>1581</v>
      </c>
      <c r="D30" s="49">
        <v>4047520</v>
      </c>
      <c r="E30" s="70">
        <v>1012</v>
      </c>
      <c r="F30" s="71">
        <f t="shared" si="5"/>
        <v>2957064</v>
      </c>
      <c r="G30" s="72">
        <v>1012</v>
      </c>
      <c r="H30" s="73" t="s">
        <v>75</v>
      </c>
      <c r="I30" s="74">
        <v>2957064</v>
      </c>
      <c r="J30" s="46">
        <v>1012</v>
      </c>
      <c r="K30" s="45"/>
      <c r="L30" s="46">
        <v>1012</v>
      </c>
      <c r="M30" s="44"/>
      <c r="N30" s="46">
        <v>1012</v>
      </c>
      <c r="O30" s="44"/>
      <c r="P30" s="46">
        <v>1012</v>
      </c>
      <c r="Q30" s="44"/>
      <c r="R30" s="46">
        <v>1012</v>
      </c>
      <c r="S30" s="44"/>
      <c r="T30" s="46">
        <f t="shared" si="6"/>
        <v>5060</v>
      </c>
      <c r="U30" s="11">
        <f t="shared" si="7"/>
        <v>0</v>
      </c>
      <c r="V30" s="41">
        <f t="shared" si="8"/>
        <v>-35.989879822896896</v>
      </c>
      <c r="W30" s="373"/>
    </row>
    <row r="31" spans="1:23" ht="15" customHeight="1" outlineLevel="1">
      <c r="A31" s="372"/>
      <c r="B31" s="68" t="s">
        <v>7</v>
      </c>
      <c r="C31" s="69">
        <v>609</v>
      </c>
      <c r="D31" s="49">
        <v>1559776</v>
      </c>
      <c r="E31" s="70">
        <v>263</v>
      </c>
      <c r="F31" s="71">
        <f t="shared" si="5"/>
        <v>768486</v>
      </c>
      <c r="G31" s="72">
        <v>263</v>
      </c>
      <c r="H31" s="73" t="s">
        <v>75</v>
      </c>
      <c r="I31" s="74">
        <v>768486</v>
      </c>
      <c r="J31" s="46">
        <v>263</v>
      </c>
      <c r="K31" s="45"/>
      <c r="L31" s="46">
        <v>263</v>
      </c>
      <c r="M31" s="44"/>
      <c r="N31" s="46">
        <v>263</v>
      </c>
      <c r="O31" s="44"/>
      <c r="P31" s="46">
        <v>263</v>
      </c>
      <c r="Q31" s="44"/>
      <c r="R31" s="46">
        <v>263</v>
      </c>
      <c r="S31" s="44"/>
      <c r="T31" s="46">
        <f t="shared" si="6"/>
        <v>1315</v>
      </c>
      <c r="U31" s="11">
        <f t="shared" si="7"/>
        <v>0</v>
      </c>
      <c r="V31" s="41">
        <f t="shared" si="8"/>
        <v>-56.814449917898187</v>
      </c>
      <c r="W31" s="373"/>
    </row>
    <row r="32" spans="1:23" ht="15" customHeight="1" outlineLevel="1">
      <c r="A32" s="372"/>
      <c r="B32" s="68" t="s">
        <v>8</v>
      </c>
      <c r="C32" s="69">
        <v>913</v>
      </c>
      <c r="D32" s="49">
        <v>2337196</v>
      </c>
      <c r="E32" s="70">
        <v>467</v>
      </c>
      <c r="F32" s="71">
        <f t="shared" si="5"/>
        <v>1364574</v>
      </c>
      <c r="G32" s="72">
        <v>467</v>
      </c>
      <c r="H32" s="73" t="s">
        <v>75</v>
      </c>
      <c r="I32" s="74">
        <v>1364574</v>
      </c>
      <c r="J32" s="46">
        <v>467</v>
      </c>
      <c r="K32" s="45"/>
      <c r="L32" s="46">
        <v>467</v>
      </c>
      <c r="M32" s="44"/>
      <c r="N32" s="46">
        <v>467</v>
      </c>
      <c r="O32" s="44"/>
      <c r="P32" s="46">
        <v>467</v>
      </c>
      <c r="Q32" s="44"/>
      <c r="R32" s="46">
        <v>467</v>
      </c>
      <c r="S32" s="44"/>
      <c r="T32" s="46">
        <f t="shared" si="6"/>
        <v>2335</v>
      </c>
      <c r="U32" s="11">
        <f t="shared" si="7"/>
        <v>0</v>
      </c>
      <c r="V32" s="41">
        <f t="shared" si="8"/>
        <v>-48.849945235487404</v>
      </c>
      <c r="W32" s="373"/>
    </row>
    <row r="33" spans="1:27" ht="15" customHeight="1" outlineLevel="1">
      <c r="A33" s="372"/>
      <c r="B33" s="68" t="s">
        <v>9</v>
      </c>
      <c r="C33" s="69">
        <v>756</v>
      </c>
      <c r="D33" s="49">
        <v>1934912</v>
      </c>
      <c r="E33" s="70">
        <v>522</v>
      </c>
      <c r="F33" s="71">
        <f t="shared" si="5"/>
        <v>1525284</v>
      </c>
      <c r="G33" s="72">
        <v>522</v>
      </c>
      <c r="H33" s="73"/>
      <c r="I33" s="74">
        <v>1525284</v>
      </c>
      <c r="J33" s="46">
        <v>522</v>
      </c>
      <c r="K33" s="45"/>
      <c r="L33" s="46">
        <v>522</v>
      </c>
      <c r="M33" s="44"/>
      <c r="N33" s="46">
        <v>522</v>
      </c>
      <c r="O33" s="44"/>
      <c r="P33" s="46">
        <v>522</v>
      </c>
      <c r="Q33" s="44"/>
      <c r="R33" s="46">
        <v>522</v>
      </c>
      <c r="S33" s="44"/>
      <c r="T33" s="46">
        <f t="shared" si="6"/>
        <v>2610</v>
      </c>
      <c r="U33" s="11">
        <f t="shared" si="7"/>
        <v>0</v>
      </c>
      <c r="V33" s="41">
        <f t="shared" si="8"/>
        <v>-30.952380952380949</v>
      </c>
      <c r="W33" s="373"/>
    </row>
    <row r="34" spans="1:27" ht="15" customHeight="1" outlineLevel="1">
      <c r="A34" s="372"/>
      <c r="B34" s="68" t="s">
        <v>10</v>
      </c>
      <c r="C34" s="69">
        <v>1459</v>
      </c>
      <c r="D34" s="49">
        <v>3734084</v>
      </c>
      <c r="E34" s="70">
        <v>638</v>
      </c>
      <c r="F34" s="71">
        <f t="shared" si="5"/>
        <v>1864236</v>
      </c>
      <c r="G34" s="72">
        <v>638</v>
      </c>
      <c r="H34" s="73" t="s">
        <v>77</v>
      </c>
      <c r="I34" s="74">
        <v>1864236</v>
      </c>
      <c r="J34" s="46">
        <v>638</v>
      </c>
      <c r="K34" s="45"/>
      <c r="L34" s="46">
        <v>638</v>
      </c>
      <c r="M34" s="44"/>
      <c r="N34" s="46">
        <v>638</v>
      </c>
      <c r="O34" s="44"/>
      <c r="P34" s="46">
        <v>638</v>
      </c>
      <c r="Q34" s="44"/>
      <c r="R34" s="46">
        <v>638</v>
      </c>
      <c r="S34" s="44"/>
      <c r="T34" s="46">
        <f t="shared" si="6"/>
        <v>3190</v>
      </c>
      <c r="U34" s="11">
        <f t="shared" si="7"/>
        <v>0</v>
      </c>
      <c r="V34" s="41">
        <f t="shared" si="8"/>
        <v>-56.271418779986291</v>
      </c>
      <c r="W34" s="373"/>
    </row>
    <row r="35" spans="1:27" ht="15" customHeight="1" outlineLevel="1">
      <c r="A35" s="372"/>
      <c r="B35" s="68" t="s">
        <v>11</v>
      </c>
      <c r="C35" s="69">
        <v>972</v>
      </c>
      <c r="D35" s="49">
        <v>2487744</v>
      </c>
      <c r="E35" s="70">
        <v>668</v>
      </c>
      <c r="F35" s="71">
        <f t="shared" si="5"/>
        <v>1951896</v>
      </c>
      <c r="G35" s="72">
        <v>668</v>
      </c>
      <c r="H35" s="73" t="s">
        <v>77</v>
      </c>
      <c r="I35" s="74">
        <v>1951896</v>
      </c>
      <c r="J35" s="46">
        <v>668</v>
      </c>
      <c r="K35" s="45"/>
      <c r="L35" s="46">
        <v>668</v>
      </c>
      <c r="M35" s="44"/>
      <c r="N35" s="46">
        <v>668</v>
      </c>
      <c r="O35" s="44"/>
      <c r="P35" s="46">
        <v>668</v>
      </c>
      <c r="Q35" s="44"/>
      <c r="R35" s="46">
        <v>668</v>
      </c>
      <c r="S35" s="44"/>
      <c r="T35" s="46">
        <f t="shared" si="6"/>
        <v>3340</v>
      </c>
      <c r="U35" s="11">
        <f t="shared" si="7"/>
        <v>0</v>
      </c>
      <c r="V35" s="41">
        <f t="shared" si="8"/>
        <v>-31.275720164609055</v>
      </c>
      <c r="W35" s="373"/>
    </row>
    <row r="36" spans="1:27" ht="15" customHeight="1" outlineLevel="1">
      <c r="A36" s="372"/>
      <c r="B36" s="68" t="s">
        <v>12</v>
      </c>
      <c r="C36" s="69">
        <v>1664</v>
      </c>
      <c r="D36" s="49">
        <v>4259768</v>
      </c>
      <c r="E36" s="70">
        <v>995</v>
      </c>
      <c r="F36" s="71">
        <f t="shared" si="5"/>
        <v>2907390</v>
      </c>
      <c r="G36" s="72">
        <v>995</v>
      </c>
      <c r="H36" s="73" t="s">
        <v>77</v>
      </c>
      <c r="I36" s="74">
        <v>2907390</v>
      </c>
      <c r="J36" s="46">
        <v>995</v>
      </c>
      <c r="K36" s="45"/>
      <c r="L36" s="46">
        <v>995</v>
      </c>
      <c r="M36" s="44"/>
      <c r="N36" s="46">
        <v>995</v>
      </c>
      <c r="O36" s="44"/>
      <c r="P36" s="46">
        <v>995</v>
      </c>
      <c r="Q36" s="44"/>
      <c r="R36" s="46">
        <v>995</v>
      </c>
      <c r="S36" s="44"/>
      <c r="T36" s="46">
        <f t="shared" si="6"/>
        <v>4975</v>
      </c>
      <c r="U36" s="11">
        <f t="shared" si="7"/>
        <v>0</v>
      </c>
      <c r="V36" s="41">
        <f t="shared" si="8"/>
        <v>-40.204326923076927</v>
      </c>
      <c r="W36" s="373"/>
    </row>
    <row r="37" spans="1:27" ht="15" customHeight="1" outlineLevel="1">
      <c r="A37" s="372"/>
      <c r="B37" s="68" t="s">
        <v>13</v>
      </c>
      <c r="C37" s="69">
        <v>2978</v>
      </c>
      <c r="D37" s="49">
        <v>7623652</v>
      </c>
      <c r="E37" s="70">
        <v>2174</v>
      </c>
      <c r="F37" s="71">
        <f t="shared" si="5"/>
        <v>6352428</v>
      </c>
      <c r="G37" s="72">
        <v>2174</v>
      </c>
      <c r="H37" s="73" t="s">
        <v>77</v>
      </c>
      <c r="I37" s="74">
        <v>6352428</v>
      </c>
      <c r="J37" s="46">
        <v>2174</v>
      </c>
      <c r="K37" s="45"/>
      <c r="L37" s="46">
        <v>2174</v>
      </c>
      <c r="M37" s="44"/>
      <c r="N37" s="46">
        <v>2174</v>
      </c>
      <c r="O37" s="44"/>
      <c r="P37" s="46">
        <v>2174</v>
      </c>
      <c r="Q37" s="44"/>
      <c r="R37" s="46">
        <v>2174</v>
      </c>
      <c r="S37" s="44"/>
      <c r="T37" s="46">
        <f t="shared" si="6"/>
        <v>10870</v>
      </c>
      <c r="U37" s="11">
        <f t="shared" si="7"/>
        <v>0</v>
      </c>
      <c r="V37" s="41">
        <f t="shared" si="8"/>
        <v>-26.997985224983211</v>
      </c>
      <c r="W37" s="373"/>
    </row>
    <row r="38" spans="1:27" ht="15" customHeight="1" outlineLevel="1">
      <c r="A38" s="372"/>
      <c r="B38" s="68" t="s">
        <v>14</v>
      </c>
      <c r="C38" s="69">
        <v>978</v>
      </c>
      <c r="D38" s="49">
        <v>2505020</v>
      </c>
      <c r="E38" s="70">
        <v>776</v>
      </c>
      <c r="F38" s="71">
        <f t="shared" si="5"/>
        <v>2267472</v>
      </c>
      <c r="G38" s="72">
        <v>776</v>
      </c>
      <c r="H38" s="73"/>
      <c r="I38" s="74">
        <v>2267472</v>
      </c>
      <c r="J38" s="46">
        <v>776</v>
      </c>
      <c r="K38" s="45"/>
      <c r="L38" s="46">
        <v>776</v>
      </c>
      <c r="M38" s="44"/>
      <c r="N38" s="46">
        <v>776</v>
      </c>
      <c r="O38" s="44"/>
      <c r="P38" s="46">
        <v>776</v>
      </c>
      <c r="Q38" s="44"/>
      <c r="R38" s="46">
        <v>776</v>
      </c>
      <c r="S38" s="44"/>
      <c r="T38" s="46">
        <f t="shared" si="6"/>
        <v>3880</v>
      </c>
      <c r="U38" s="11">
        <f t="shared" si="7"/>
        <v>0</v>
      </c>
      <c r="V38" s="41">
        <f t="shared" si="8"/>
        <v>-20.654396728016351</v>
      </c>
      <c r="W38" s="373"/>
    </row>
    <row r="39" spans="1:27" s="75" customFormat="1" ht="15.75" customHeight="1" outlineLevel="1">
      <c r="A39" s="372"/>
      <c r="B39" s="20" t="s">
        <v>18</v>
      </c>
      <c r="C39" s="76">
        <f>SUM(C28:C38)</f>
        <v>29826</v>
      </c>
      <c r="D39" s="59">
        <f>SUM(D28:D38)</f>
        <v>75553216</v>
      </c>
      <c r="E39" s="77">
        <f t="shared" si="3"/>
        <v>22627</v>
      </c>
      <c r="F39" s="78">
        <f>SUM(F28:F38)</f>
        <v>66116094</v>
      </c>
      <c r="G39" s="79">
        <f t="shared" si="4"/>
        <v>17047</v>
      </c>
      <c r="H39" s="80"/>
      <c r="I39" s="81">
        <f>SUM(I28:I38)</f>
        <v>49811334</v>
      </c>
      <c r="J39" s="80">
        <f t="shared" si="4"/>
        <v>17070</v>
      </c>
      <c r="K39" s="80">
        <f t="shared" si="4"/>
        <v>0</v>
      </c>
      <c r="L39" s="80">
        <f t="shared" si="4"/>
        <v>17096</v>
      </c>
      <c r="M39" s="80">
        <f t="shared" si="4"/>
        <v>0</v>
      </c>
      <c r="N39" s="80">
        <f t="shared" si="4"/>
        <v>17055</v>
      </c>
      <c r="O39" s="80">
        <f t="shared" si="4"/>
        <v>0</v>
      </c>
      <c r="P39" s="80">
        <f t="shared" si="4"/>
        <v>17065</v>
      </c>
      <c r="Q39" s="80">
        <f t="shared" si="4"/>
        <v>0</v>
      </c>
      <c r="R39" s="80">
        <f t="shared" si="4"/>
        <v>17065</v>
      </c>
      <c r="S39" s="80">
        <f t="shared" si="4"/>
        <v>0</v>
      </c>
      <c r="T39" s="80">
        <f>SUM(G39,J39,L39,N39,P39)</f>
        <v>85333</v>
      </c>
      <c r="U39" s="11">
        <f>SUM(U28:U38)</f>
        <v>0</v>
      </c>
      <c r="V39" s="41">
        <f t="shared" si="8"/>
        <v>-24.136659290551862</v>
      </c>
      <c r="W39" s="41">
        <f>(F39/I39)*100 -100</f>
        <v>32.733032205080093</v>
      </c>
    </row>
    <row r="40" spans="1:27" ht="47.1" customHeight="1">
      <c r="A40" s="372" t="s">
        <v>15</v>
      </c>
      <c r="B40" s="374" t="s">
        <v>78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5"/>
      <c r="M40" s="375"/>
      <c r="N40" s="375"/>
      <c r="O40" s="375"/>
      <c r="P40" s="375"/>
      <c r="Q40" s="375"/>
      <c r="R40" s="375"/>
      <c r="S40" s="375"/>
      <c r="T40" s="375"/>
      <c r="U40" s="376"/>
      <c r="V40" s="41">
        <f>(E54/G54)*100 -100</f>
        <v>-27.570558937465421</v>
      </c>
      <c r="W40" s="41"/>
    </row>
    <row r="41" spans="1:27" ht="15" customHeight="1" outlineLevel="1">
      <c r="A41" s="372"/>
      <c r="B41" s="83" t="s">
        <v>79</v>
      </c>
      <c r="C41" s="84">
        <v>4681</v>
      </c>
      <c r="D41" s="44">
        <v>11984608</v>
      </c>
      <c r="E41" s="46">
        <v>3416</v>
      </c>
      <c r="F41" s="46">
        <f t="shared" ref="F41:F45" si="9">E41*$V$6</f>
        <v>9981552</v>
      </c>
      <c r="G41" s="46">
        <v>3080</v>
      </c>
      <c r="H41" s="46"/>
      <c r="I41" s="85">
        <f t="shared" ref="I41:I53" si="10">G41*$V$6</f>
        <v>8999760</v>
      </c>
      <c r="J41" s="44"/>
      <c r="K41" s="45"/>
      <c r="L41" s="45"/>
      <c r="M41" s="44"/>
      <c r="N41" s="44"/>
      <c r="O41" s="44"/>
      <c r="P41" s="44"/>
      <c r="Q41" s="44"/>
      <c r="R41" s="44"/>
      <c r="S41" s="44"/>
      <c r="T41" s="46">
        <f t="shared" ref="T41:T53" si="11">SUM(J41,L41,N41,P41,R41)</f>
        <v>0</v>
      </c>
      <c r="U41" s="11">
        <f t="shared" ref="U41:U53" si="12">SUM(K41,M41,O41,Q41,S41)</f>
        <v>0</v>
      </c>
      <c r="V41" s="41">
        <f t="shared" ref="V41:V54" si="13">(E41/C41)*100 -100</f>
        <v>-27.024140140995513</v>
      </c>
      <c r="X41" s="86"/>
    </row>
    <row r="42" spans="1:27" ht="15" customHeight="1" outlineLevel="1">
      <c r="A42" s="372"/>
      <c r="B42" s="42" t="s">
        <v>80</v>
      </c>
      <c r="C42" s="63">
        <v>11014</v>
      </c>
      <c r="D42" s="44">
        <v>28194432</v>
      </c>
      <c r="E42" s="46">
        <v>11584</v>
      </c>
      <c r="F42" s="46">
        <f t="shared" si="9"/>
        <v>33848448</v>
      </c>
      <c r="G42" s="46">
        <v>12888</v>
      </c>
      <c r="H42" s="46" t="s">
        <v>81</v>
      </c>
      <c r="I42" s="85">
        <f t="shared" si="10"/>
        <v>37658736</v>
      </c>
      <c r="J42" s="46"/>
      <c r="K42" s="87"/>
      <c r="L42" s="46"/>
      <c r="M42" s="88"/>
      <c r="N42" s="46"/>
      <c r="O42" s="88"/>
      <c r="P42" s="46"/>
      <c r="Q42" s="88"/>
      <c r="R42" s="46"/>
      <c r="S42" s="88"/>
      <c r="T42" s="46">
        <f t="shared" si="11"/>
        <v>0</v>
      </c>
      <c r="U42" s="11">
        <f t="shared" si="12"/>
        <v>0</v>
      </c>
      <c r="V42" s="41">
        <f t="shared" si="13"/>
        <v>5.1752315235155351</v>
      </c>
      <c r="W42" s="89" t="s">
        <v>82</v>
      </c>
    </row>
    <row r="43" spans="1:27" ht="15" customHeight="1" outlineLevel="1">
      <c r="A43" s="372"/>
      <c r="B43" s="42" t="s">
        <v>83</v>
      </c>
      <c r="C43" s="63">
        <v>6941</v>
      </c>
      <c r="D43" s="44">
        <v>17769600</v>
      </c>
      <c r="E43" s="46">
        <v>5112</v>
      </c>
      <c r="F43" s="46">
        <f t="shared" si="9"/>
        <v>14937264</v>
      </c>
      <c r="G43" s="46">
        <v>12480</v>
      </c>
      <c r="H43" s="46" t="s">
        <v>81</v>
      </c>
      <c r="I43" s="85">
        <f t="shared" si="10"/>
        <v>36466560</v>
      </c>
      <c r="J43" s="46"/>
      <c r="K43" s="87"/>
      <c r="L43" s="46"/>
      <c r="M43" s="88"/>
      <c r="N43" s="46"/>
      <c r="O43" s="88"/>
      <c r="P43" s="46"/>
      <c r="Q43" s="88"/>
      <c r="R43" s="46"/>
      <c r="S43" s="88"/>
      <c r="T43" s="46">
        <f t="shared" si="11"/>
        <v>0</v>
      </c>
      <c r="U43" s="11">
        <f t="shared" si="12"/>
        <v>0</v>
      </c>
      <c r="V43" s="41">
        <f t="shared" si="13"/>
        <v>-26.350669932286422</v>
      </c>
      <c r="W43" s="377" t="s">
        <v>84</v>
      </c>
    </row>
    <row r="44" spans="1:27" ht="15" customHeight="1" outlineLevel="1">
      <c r="A44" s="372"/>
      <c r="B44" s="42" t="s">
        <v>85</v>
      </c>
      <c r="C44" s="63">
        <v>3817</v>
      </c>
      <c r="D44" s="44">
        <v>9773280</v>
      </c>
      <c r="E44" s="46">
        <v>2816</v>
      </c>
      <c r="F44" s="46">
        <f t="shared" si="9"/>
        <v>8228352</v>
      </c>
      <c r="G44" s="46">
        <v>5280</v>
      </c>
      <c r="H44" s="46"/>
      <c r="I44" s="85">
        <f t="shared" si="10"/>
        <v>15428160</v>
      </c>
      <c r="J44" s="46"/>
      <c r="K44" s="87"/>
      <c r="L44" s="46"/>
      <c r="M44" s="88"/>
      <c r="N44" s="46"/>
      <c r="O44" s="88"/>
      <c r="P44" s="46"/>
      <c r="Q44" s="88"/>
      <c r="R44" s="46"/>
      <c r="S44" s="88"/>
      <c r="T44" s="46">
        <f t="shared" si="11"/>
        <v>0</v>
      </c>
      <c r="U44" s="11">
        <f t="shared" si="12"/>
        <v>0</v>
      </c>
      <c r="V44" s="41">
        <f t="shared" si="13"/>
        <v>-26.224783861671469</v>
      </c>
      <c r="W44" s="378"/>
    </row>
    <row r="45" spans="1:27" ht="15" customHeight="1" outlineLevel="1">
      <c r="A45" s="372"/>
      <c r="B45" s="90" t="s">
        <v>86</v>
      </c>
      <c r="C45" s="69">
        <v>20528</v>
      </c>
      <c r="D45" s="49">
        <v>52550630</v>
      </c>
      <c r="E45" s="91">
        <v>20528</v>
      </c>
      <c r="F45" s="91">
        <f t="shared" si="9"/>
        <v>59982816</v>
      </c>
      <c r="G45" s="72">
        <v>29280</v>
      </c>
      <c r="H45" s="92" t="s">
        <v>87</v>
      </c>
      <c r="I45" s="93">
        <f t="shared" si="10"/>
        <v>85556160</v>
      </c>
      <c r="J45" s="46"/>
      <c r="K45" s="87"/>
      <c r="L45" s="46"/>
      <c r="M45" s="88"/>
      <c r="N45" s="46"/>
      <c r="O45" s="88"/>
      <c r="P45" s="46"/>
      <c r="Q45" s="88"/>
      <c r="R45" s="46"/>
      <c r="S45" s="88"/>
      <c r="T45" s="46">
        <f t="shared" si="11"/>
        <v>0</v>
      </c>
      <c r="U45" s="11">
        <f t="shared" si="12"/>
        <v>0</v>
      </c>
      <c r="V45" s="41">
        <f t="shared" si="13"/>
        <v>0</v>
      </c>
      <c r="W45" s="379" t="s">
        <v>88</v>
      </c>
    </row>
    <row r="46" spans="1:27" s="94" customFormat="1" ht="15" customHeight="1" outlineLevel="1">
      <c r="A46" s="372"/>
      <c r="B46" s="95" t="s">
        <v>21</v>
      </c>
      <c r="C46" s="96">
        <v>648</v>
      </c>
      <c r="D46" s="49">
        <v>1651752</v>
      </c>
      <c r="E46" s="91">
        <v>800</v>
      </c>
      <c r="F46" s="91">
        <f t="shared" ref="F46:F53" si="14">E46*3048</f>
        <v>2438400</v>
      </c>
      <c r="G46" s="72">
        <v>888</v>
      </c>
      <c r="H46" s="92" t="s">
        <v>87</v>
      </c>
      <c r="I46" s="93">
        <f t="shared" si="10"/>
        <v>2594736</v>
      </c>
      <c r="J46" s="54"/>
      <c r="K46" s="55"/>
      <c r="L46" s="55"/>
      <c r="M46" s="54"/>
      <c r="N46" s="54"/>
      <c r="O46" s="54"/>
      <c r="P46" s="54"/>
      <c r="Q46" s="54"/>
      <c r="R46" s="54"/>
      <c r="S46" s="54"/>
      <c r="T46" s="46">
        <f t="shared" si="11"/>
        <v>0</v>
      </c>
      <c r="U46" s="11">
        <f t="shared" si="12"/>
        <v>0</v>
      </c>
      <c r="V46" s="41">
        <f t="shared" si="13"/>
        <v>23.456790123456784</v>
      </c>
      <c r="W46" s="380"/>
      <c r="X46" s="97"/>
      <c r="Z46" s="97"/>
      <c r="AA46" s="97"/>
    </row>
    <row r="47" spans="1:27" ht="15" customHeight="1" outlineLevel="1">
      <c r="A47" s="372"/>
      <c r="B47" s="95" t="s">
        <v>8</v>
      </c>
      <c r="C47" s="96">
        <v>504</v>
      </c>
      <c r="D47" s="49">
        <v>1284696</v>
      </c>
      <c r="E47" s="91">
        <v>664</v>
      </c>
      <c r="F47" s="91">
        <f t="shared" si="14"/>
        <v>2023872</v>
      </c>
      <c r="G47" s="72">
        <v>696</v>
      </c>
      <c r="H47" s="92" t="s">
        <v>89</v>
      </c>
      <c r="I47" s="93">
        <f t="shared" si="10"/>
        <v>2033712</v>
      </c>
      <c r="J47" s="54"/>
      <c r="K47" s="55"/>
      <c r="L47" s="55"/>
      <c r="M47" s="54"/>
      <c r="N47" s="54"/>
      <c r="O47" s="54"/>
      <c r="P47" s="54"/>
      <c r="Q47" s="54"/>
      <c r="R47" s="54"/>
      <c r="S47" s="54"/>
      <c r="T47" s="46">
        <f t="shared" si="11"/>
        <v>0</v>
      </c>
      <c r="U47" s="11">
        <f t="shared" si="12"/>
        <v>0</v>
      </c>
      <c r="V47" s="41">
        <f t="shared" si="13"/>
        <v>31.746031746031747</v>
      </c>
      <c r="W47" s="380"/>
      <c r="X47" s="12"/>
      <c r="Z47" s="12"/>
      <c r="AA47" s="12"/>
    </row>
    <row r="48" spans="1:27" ht="15" customHeight="1" outlineLevel="1">
      <c r="A48" s="372"/>
      <c r="B48" s="95" t="s">
        <v>25</v>
      </c>
      <c r="C48" s="96">
        <v>1056</v>
      </c>
      <c r="D48" s="49">
        <v>2691744</v>
      </c>
      <c r="E48" s="91">
        <v>1184</v>
      </c>
      <c r="F48" s="91">
        <f t="shared" si="14"/>
        <v>3608832</v>
      </c>
      <c r="G48" s="72">
        <v>1232</v>
      </c>
      <c r="H48" s="56" t="s">
        <v>90</v>
      </c>
      <c r="I48" s="93">
        <f t="shared" si="10"/>
        <v>3599904</v>
      </c>
      <c r="J48" s="54"/>
      <c r="K48" s="55"/>
      <c r="L48" s="55"/>
      <c r="M48" s="54"/>
      <c r="N48" s="54"/>
      <c r="O48" s="54"/>
      <c r="P48" s="54"/>
      <c r="Q48" s="54"/>
      <c r="R48" s="54"/>
      <c r="S48" s="54"/>
      <c r="T48" s="46">
        <f t="shared" si="11"/>
        <v>0</v>
      </c>
      <c r="U48" s="11">
        <f t="shared" si="12"/>
        <v>0</v>
      </c>
      <c r="V48" s="41">
        <f t="shared" si="13"/>
        <v>12.12121212121211</v>
      </c>
      <c r="W48" s="380"/>
      <c r="X48" s="12"/>
      <c r="Z48" s="12"/>
      <c r="AA48" s="12"/>
    </row>
    <row r="49" spans="1:28" ht="15" customHeight="1" outlineLevel="1">
      <c r="A49" s="372"/>
      <c r="B49" s="95" t="s">
        <v>91</v>
      </c>
      <c r="C49" s="96">
        <v>384</v>
      </c>
      <c r="D49" s="49">
        <v>978816</v>
      </c>
      <c r="E49" s="91">
        <v>552</v>
      </c>
      <c r="F49" s="91">
        <f t="shared" si="14"/>
        <v>1682496</v>
      </c>
      <c r="G49" s="72">
        <v>528</v>
      </c>
      <c r="H49" s="92" t="s">
        <v>92</v>
      </c>
      <c r="I49" s="93">
        <f t="shared" si="10"/>
        <v>1542816</v>
      </c>
      <c r="J49" s="54"/>
      <c r="K49" s="55"/>
      <c r="L49" s="55"/>
      <c r="M49" s="54"/>
      <c r="N49" s="54"/>
      <c r="O49" s="54"/>
      <c r="P49" s="54"/>
      <c r="Q49" s="54"/>
      <c r="R49" s="54"/>
      <c r="S49" s="54"/>
      <c r="T49" s="46">
        <f t="shared" si="11"/>
        <v>0</v>
      </c>
      <c r="U49" s="11">
        <f t="shared" si="12"/>
        <v>0</v>
      </c>
      <c r="V49" s="41">
        <f t="shared" si="13"/>
        <v>43.75</v>
      </c>
      <c r="W49" s="380"/>
      <c r="X49" s="12"/>
      <c r="Z49" s="12"/>
      <c r="AA49" s="12"/>
    </row>
    <row r="50" spans="1:28" ht="15" customHeight="1" outlineLevel="1">
      <c r="A50" s="372"/>
      <c r="B50" s="95" t="s">
        <v>93</v>
      </c>
      <c r="C50" s="96">
        <v>664</v>
      </c>
      <c r="D50" s="49">
        <v>1692536</v>
      </c>
      <c r="E50" s="91">
        <v>1168</v>
      </c>
      <c r="F50" s="91">
        <f t="shared" si="14"/>
        <v>3560064</v>
      </c>
      <c r="G50" s="72">
        <v>1200</v>
      </c>
      <c r="H50" s="92" t="s">
        <v>87</v>
      </c>
      <c r="I50" s="93">
        <f t="shared" si="10"/>
        <v>3506400</v>
      </c>
      <c r="J50" s="54"/>
      <c r="K50" s="55"/>
      <c r="L50" s="55"/>
      <c r="M50" s="54"/>
      <c r="N50" s="54"/>
      <c r="O50" s="54"/>
      <c r="P50" s="54"/>
      <c r="Q50" s="54"/>
      <c r="R50" s="54"/>
      <c r="S50" s="54"/>
      <c r="T50" s="46">
        <f t="shared" si="11"/>
        <v>0</v>
      </c>
      <c r="U50" s="11">
        <f t="shared" si="12"/>
        <v>0</v>
      </c>
      <c r="V50" s="41">
        <f t="shared" si="13"/>
        <v>75.90361445783131</v>
      </c>
      <c r="W50" s="380"/>
      <c r="X50" s="12"/>
      <c r="Z50" s="12"/>
      <c r="AA50" s="12"/>
    </row>
    <row r="51" spans="1:28" ht="15" customHeight="1" outlineLevel="1">
      <c r="A51" s="372"/>
      <c r="B51" s="95" t="s">
        <v>29</v>
      </c>
      <c r="C51" s="96">
        <v>2240</v>
      </c>
      <c r="D51" s="49">
        <v>5709760</v>
      </c>
      <c r="E51" s="91">
        <v>2312</v>
      </c>
      <c r="F51" s="91">
        <f t="shared" si="14"/>
        <v>7046976</v>
      </c>
      <c r="G51" s="72">
        <v>2608</v>
      </c>
      <c r="H51" s="98" t="s">
        <v>94</v>
      </c>
      <c r="I51" s="93">
        <f t="shared" si="10"/>
        <v>7620576</v>
      </c>
      <c r="J51" s="54"/>
      <c r="K51" s="55"/>
      <c r="L51" s="55"/>
      <c r="M51" s="54"/>
      <c r="N51" s="54"/>
      <c r="O51" s="54"/>
      <c r="P51" s="54"/>
      <c r="Q51" s="54"/>
      <c r="R51" s="54"/>
      <c r="S51" s="54"/>
      <c r="T51" s="46">
        <f t="shared" si="11"/>
        <v>0</v>
      </c>
      <c r="U51" s="11">
        <f t="shared" si="12"/>
        <v>0</v>
      </c>
      <c r="V51" s="41">
        <f t="shared" si="13"/>
        <v>3.2142857142857224</v>
      </c>
      <c r="W51" s="380"/>
      <c r="X51" s="12"/>
      <c r="Z51" s="12"/>
      <c r="AA51" s="12"/>
    </row>
    <row r="52" spans="1:28" ht="15" customHeight="1" outlineLevel="1">
      <c r="A52" s="372"/>
      <c r="B52" s="95" t="s">
        <v>28</v>
      </c>
      <c r="C52" s="96">
        <v>648</v>
      </c>
      <c r="D52" s="49">
        <v>1651752</v>
      </c>
      <c r="E52" s="91">
        <v>1032</v>
      </c>
      <c r="F52" s="91">
        <f t="shared" si="14"/>
        <v>3145536</v>
      </c>
      <c r="G52" s="72">
        <v>888</v>
      </c>
      <c r="H52" s="92"/>
      <c r="I52" s="93">
        <f t="shared" si="10"/>
        <v>2594736</v>
      </c>
      <c r="J52" s="54"/>
      <c r="K52" s="55"/>
      <c r="L52" s="55"/>
      <c r="M52" s="54"/>
      <c r="N52" s="54"/>
      <c r="O52" s="54"/>
      <c r="P52" s="54"/>
      <c r="Q52" s="54"/>
      <c r="R52" s="54"/>
      <c r="S52" s="54"/>
      <c r="T52" s="46">
        <f t="shared" si="11"/>
        <v>0</v>
      </c>
      <c r="U52" s="11">
        <f t="shared" si="12"/>
        <v>0</v>
      </c>
      <c r="V52" s="41">
        <f t="shared" si="13"/>
        <v>59.259259259259267</v>
      </c>
      <c r="W52" s="380"/>
      <c r="X52" s="12"/>
      <c r="Z52" s="12"/>
      <c r="AA52" s="12"/>
    </row>
    <row r="53" spans="1:28" ht="15" customHeight="1" outlineLevel="1">
      <c r="A53" s="372"/>
      <c r="B53" s="95" t="s">
        <v>14</v>
      </c>
      <c r="C53" s="96">
        <v>1056</v>
      </c>
      <c r="D53" s="49">
        <v>2691744</v>
      </c>
      <c r="E53" s="91">
        <v>1184</v>
      </c>
      <c r="F53" s="91">
        <f t="shared" si="14"/>
        <v>3608832</v>
      </c>
      <c r="G53" s="72">
        <v>1232</v>
      </c>
      <c r="H53" s="92"/>
      <c r="I53" s="93">
        <f t="shared" si="10"/>
        <v>3599904</v>
      </c>
      <c r="J53" s="54"/>
      <c r="K53" s="55"/>
      <c r="L53" s="55"/>
      <c r="M53" s="54"/>
      <c r="N53" s="54"/>
      <c r="O53" s="54"/>
      <c r="P53" s="54"/>
      <c r="Q53" s="54"/>
      <c r="R53" s="54"/>
      <c r="S53" s="54"/>
      <c r="T53" s="46">
        <f t="shared" si="11"/>
        <v>0</v>
      </c>
      <c r="U53" s="11">
        <f t="shared" si="12"/>
        <v>0</v>
      </c>
      <c r="V53" s="41">
        <f t="shared" si="13"/>
        <v>12.12121212121211</v>
      </c>
      <c r="W53" s="381"/>
      <c r="X53" s="12"/>
      <c r="Z53" s="12"/>
      <c r="AA53" s="12"/>
    </row>
    <row r="54" spans="1:28" s="75" customFormat="1" ht="24.75" customHeight="1" outlineLevel="1">
      <c r="A54" s="372"/>
      <c r="B54" s="99" t="s">
        <v>18</v>
      </c>
      <c r="C54" s="100">
        <f>SUM(C41:C53)</f>
        <v>54181</v>
      </c>
      <c r="D54" s="101">
        <f>SUM(D41:D53)</f>
        <v>138625350</v>
      </c>
      <c r="E54" s="102">
        <f>SUM(E41:E53)</f>
        <v>52352</v>
      </c>
      <c r="F54" s="102">
        <f>SUM(F41:F53)</f>
        <v>154093440</v>
      </c>
      <c r="G54" s="79">
        <f>SUM(G41:G53)</f>
        <v>72280</v>
      </c>
      <c r="H54" s="103"/>
      <c r="I54" s="104">
        <f>SUM(I41:I53)</f>
        <v>211202160</v>
      </c>
      <c r="J54" s="105">
        <f>SUM(J41:J53)</f>
        <v>0</v>
      </c>
      <c r="K54" s="105">
        <f t="shared" ref="K54:T54" si="15">SUM(K41:K53)</f>
        <v>0</v>
      </c>
      <c r="L54" s="105">
        <f t="shared" si="15"/>
        <v>0</v>
      </c>
      <c r="M54" s="105">
        <f t="shared" si="15"/>
        <v>0</v>
      </c>
      <c r="N54" s="105">
        <f t="shared" si="15"/>
        <v>0</v>
      </c>
      <c r="O54" s="105">
        <f t="shared" si="15"/>
        <v>0</v>
      </c>
      <c r="P54" s="105">
        <f t="shared" si="15"/>
        <v>0</v>
      </c>
      <c r="Q54" s="105">
        <f t="shared" si="15"/>
        <v>0</v>
      </c>
      <c r="R54" s="105">
        <f t="shared" si="15"/>
        <v>0</v>
      </c>
      <c r="S54" s="105">
        <f t="shared" si="15"/>
        <v>0</v>
      </c>
      <c r="T54" s="105">
        <f t="shared" si="15"/>
        <v>0</v>
      </c>
      <c r="U54" s="106">
        <f>SUM(U45:U53)</f>
        <v>0</v>
      </c>
      <c r="V54" s="41">
        <f t="shared" si="13"/>
        <v>-3.375722116609154</v>
      </c>
      <c r="W54" s="41">
        <f>(F54/D54)*100 -100</f>
        <v>11.158197256129569</v>
      </c>
      <c r="X54" s="107"/>
      <c r="Z54" s="107"/>
      <c r="AA54" s="107"/>
      <c r="AB54" s="107"/>
    </row>
    <row r="55" spans="1:28" ht="39" customHeight="1">
      <c r="A55" s="382" t="s">
        <v>17</v>
      </c>
      <c r="B55" s="383" t="s">
        <v>95</v>
      </c>
      <c r="C55" s="383"/>
      <c r="D55" s="384"/>
      <c r="E55" s="384"/>
      <c r="F55" s="384"/>
      <c r="G55" s="384"/>
      <c r="H55" s="384"/>
      <c r="I55" s="384"/>
      <c r="J55" s="384"/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  <c r="V55" s="41"/>
    </row>
    <row r="56" spans="1:28" ht="15" customHeight="1" outlineLevel="1">
      <c r="A56" s="382"/>
      <c r="B56" s="42" t="s">
        <v>96</v>
      </c>
      <c r="C56" s="63">
        <v>4462</v>
      </c>
      <c r="D56" s="44">
        <v>10661760</v>
      </c>
      <c r="E56" s="44"/>
      <c r="F56" s="44"/>
      <c r="G56" s="44"/>
      <c r="H56" s="44" t="s">
        <v>97</v>
      </c>
      <c r="I56" s="45"/>
      <c r="J56" s="44"/>
      <c r="K56" s="45"/>
      <c r="L56" s="45"/>
      <c r="M56" s="44"/>
      <c r="N56" s="44"/>
      <c r="O56" s="44"/>
      <c r="P56" s="44"/>
      <c r="Q56" s="44"/>
      <c r="R56" s="44"/>
      <c r="S56" s="44"/>
      <c r="T56" s="46">
        <f t="shared" ref="T56:T67" si="16">SUM(J56,L56,N56,P56,R56)</f>
        <v>0</v>
      </c>
      <c r="U56" s="11">
        <f t="shared" ref="U56:U67" si="17">SUM(K56,M56,O56,Q56,S56)</f>
        <v>0</v>
      </c>
      <c r="V56" s="41"/>
      <c r="W56" s="385" t="s">
        <v>98</v>
      </c>
    </row>
    <row r="57" spans="1:28" ht="15" customHeight="1" outlineLevel="1">
      <c r="A57" s="382"/>
      <c r="B57" s="42" t="s">
        <v>99</v>
      </c>
      <c r="C57" s="63"/>
      <c r="D57" s="44"/>
      <c r="E57" s="44">
        <v>4320</v>
      </c>
      <c r="F57" s="46">
        <f>E57*$V$6</f>
        <v>12623040</v>
      </c>
      <c r="G57" s="46">
        <v>4320</v>
      </c>
      <c r="H57" s="44"/>
      <c r="I57" s="45">
        <f>G57*$V$6</f>
        <v>12623040</v>
      </c>
      <c r="J57" s="44"/>
      <c r="K57" s="45"/>
      <c r="L57" s="45"/>
      <c r="M57" s="44"/>
      <c r="N57" s="44"/>
      <c r="O57" s="44"/>
      <c r="P57" s="44"/>
      <c r="Q57" s="44"/>
      <c r="R57" s="44"/>
      <c r="S57" s="44"/>
      <c r="T57" s="46">
        <f t="shared" si="16"/>
        <v>0</v>
      </c>
      <c r="U57" s="11">
        <f t="shared" si="17"/>
        <v>0</v>
      </c>
      <c r="V57" s="41"/>
      <c r="W57" s="385"/>
    </row>
    <row r="58" spans="1:28" ht="15" customHeight="1" outlineLevel="1">
      <c r="A58" s="382"/>
      <c r="B58" s="95" t="s">
        <v>4</v>
      </c>
      <c r="C58" s="96">
        <f t="shared" ref="C58:C67" si="18">D58/2560</f>
        <v>659.90078125000002</v>
      </c>
      <c r="D58" s="49">
        <v>1689346</v>
      </c>
      <c r="E58" s="50"/>
      <c r="F58" s="50"/>
      <c r="G58" s="51"/>
      <c r="H58" s="52" t="s">
        <v>100</v>
      </c>
      <c r="I58" s="53"/>
      <c r="J58" s="54"/>
      <c r="K58" s="55"/>
      <c r="L58" s="55"/>
      <c r="M58" s="54"/>
      <c r="N58" s="54"/>
      <c r="O58" s="54"/>
      <c r="P58" s="54"/>
      <c r="Q58" s="54"/>
      <c r="R58" s="54"/>
      <c r="S58" s="54"/>
      <c r="T58" s="46">
        <f t="shared" si="16"/>
        <v>0</v>
      </c>
      <c r="U58" s="11">
        <f t="shared" si="17"/>
        <v>0</v>
      </c>
      <c r="V58" s="41"/>
      <c r="W58" s="108"/>
    </row>
    <row r="59" spans="1:28" ht="15" customHeight="1" outlineLevel="1">
      <c r="A59" s="382"/>
      <c r="B59" s="95" t="s">
        <v>5</v>
      </c>
      <c r="C59" s="96">
        <f t="shared" si="18"/>
        <v>268.00937499999998</v>
      </c>
      <c r="D59" s="49">
        <v>686104</v>
      </c>
      <c r="E59" s="50"/>
      <c r="F59" s="50"/>
      <c r="G59" s="51"/>
      <c r="H59" s="52" t="s">
        <v>101</v>
      </c>
      <c r="I59" s="53"/>
      <c r="J59" s="54"/>
      <c r="K59" s="55"/>
      <c r="L59" s="55"/>
      <c r="M59" s="54"/>
      <c r="N59" s="54"/>
      <c r="O59" s="54"/>
      <c r="P59" s="54"/>
      <c r="Q59" s="54"/>
      <c r="R59" s="54"/>
      <c r="S59" s="54"/>
      <c r="T59" s="46">
        <f t="shared" si="16"/>
        <v>0</v>
      </c>
      <c r="U59" s="11">
        <f t="shared" si="17"/>
        <v>0</v>
      </c>
      <c r="V59" s="41"/>
    </row>
    <row r="60" spans="1:28" ht="15" customHeight="1" outlineLevel="1">
      <c r="A60" s="382"/>
      <c r="B60" s="95" t="s">
        <v>7</v>
      </c>
      <c r="C60" s="96">
        <f t="shared" si="18"/>
        <v>70.858593749999997</v>
      </c>
      <c r="D60" s="49">
        <v>181398</v>
      </c>
      <c r="E60" s="50"/>
      <c r="F60" s="50"/>
      <c r="G60" s="51"/>
      <c r="H60" s="56" t="s">
        <v>72</v>
      </c>
      <c r="I60" s="53"/>
      <c r="J60" s="54"/>
      <c r="K60" s="55"/>
      <c r="L60" s="55"/>
      <c r="M60" s="54"/>
      <c r="N60" s="54"/>
      <c r="O60" s="54"/>
      <c r="P60" s="54"/>
      <c r="Q60" s="54"/>
      <c r="R60" s="54"/>
      <c r="S60" s="54"/>
      <c r="T60" s="46">
        <f t="shared" si="16"/>
        <v>0</v>
      </c>
      <c r="U60" s="11">
        <f t="shared" si="17"/>
        <v>0</v>
      </c>
      <c r="V60" s="41"/>
    </row>
    <row r="61" spans="1:28" ht="15" customHeight="1" outlineLevel="1">
      <c r="A61" s="382"/>
      <c r="B61" s="95" t="s">
        <v>8</v>
      </c>
      <c r="C61" s="96">
        <f t="shared" si="18"/>
        <v>116.16953125000001</v>
      </c>
      <c r="D61" s="49">
        <v>297394</v>
      </c>
      <c r="E61" s="50"/>
      <c r="F61" s="50"/>
      <c r="G61" s="51"/>
      <c r="H61" s="56" t="s">
        <v>72</v>
      </c>
      <c r="I61" s="53"/>
      <c r="J61" s="54"/>
      <c r="K61" s="55"/>
      <c r="L61" s="55"/>
      <c r="M61" s="54"/>
      <c r="N61" s="54"/>
      <c r="O61" s="54"/>
      <c r="P61" s="54"/>
      <c r="Q61" s="54"/>
      <c r="R61" s="54"/>
      <c r="S61" s="54"/>
      <c r="T61" s="46">
        <f t="shared" si="16"/>
        <v>0</v>
      </c>
      <c r="U61" s="11">
        <f t="shared" si="17"/>
        <v>0</v>
      </c>
      <c r="V61" s="41"/>
    </row>
    <row r="62" spans="1:28" ht="15" customHeight="1" outlineLevel="1">
      <c r="A62" s="382"/>
      <c r="B62" s="95" t="s">
        <v>9</v>
      </c>
      <c r="C62" s="96">
        <f t="shared" si="18"/>
        <v>139.30703124999999</v>
      </c>
      <c r="D62" s="49">
        <v>356626</v>
      </c>
      <c r="E62" s="50"/>
      <c r="F62" s="50"/>
      <c r="G62" s="51"/>
      <c r="H62" s="56"/>
      <c r="I62" s="53"/>
      <c r="J62" s="54"/>
      <c r="K62" s="55"/>
      <c r="L62" s="55"/>
      <c r="M62" s="54"/>
      <c r="N62" s="54"/>
      <c r="O62" s="54"/>
      <c r="P62" s="54"/>
      <c r="Q62" s="54"/>
      <c r="R62" s="54"/>
      <c r="S62" s="54"/>
      <c r="T62" s="46">
        <f t="shared" si="16"/>
        <v>0</v>
      </c>
      <c r="U62" s="11">
        <f t="shared" si="17"/>
        <v>0</v>
      </c>
      <c r="V62" s="41"/>
    </row>
    <row r="63" spans="1:28" ht="15" customHeight="1" outlineLevel="1">
      <c r="A63" s="382"/>
      <c r="B63" s="95" t="s">
        <v>93</v>
      </c>
      <c r="C63" s="96">
        <f t="shared" si="18"/>
        <v>171.12109375</v>
      </c>
      <c r="D63" s="49">
        <v>438070</v>
      </c>
      <c r="E63" s="50"/>
      <c r="F63" s="50"/>
      <c r="G63" s="51"/>
      <c r="H63" s="56" t="s">
        <v>72</v>
      </c>
      <c r="I63" s="53"/>
      <c r="J63" s="54"/>
      <c r="K63" s="55"/>
      <c r="L63" s="55"/>
      <c r="M63" s="54"/>
      <c r="N63" s="54"/>
      <c r="O63" s="54"/>
      <c r="P63" s="54"/>
      <c r="Q63" s="54"/>
      <c r="R63" s="54"/>
      <c r="S63" s="54"/>
      <c r="T63" s="46">
        <f t="shared" si="16"/>
        <v>0</v>
      </c>
      <c r="U63" s="11">
        <f t="shared" si="17"/>
        <v>0</v>
      </c>
      <c r="V63" s="41"/>
    </row>
    <row r="64" spans="1:28" ht="15" customHeight="1" outlineLevel="1">
      <c r="A64" s="382"/>
      <c r="B64" s="95" t="s">
        <v>11</v>
      </c>
      <c r="C64" s="96">
        <f t="shared" si="18"/>
        <v>163.890625</v>
      </c>
      <c r="D64" s="49">
        <v>419560</v>
      </c>
      <c r="E64" s="50"/>
      <c r="F64" s="50"/>
      <c r="G64" s="51"/>
      <c r="H64" s="56" t="s">
        <v>72</v>
      </c>
      <c r="I64" s="53"/>
      <c r="J64" s="54"/>
      <c r="K64" s="55"/>
      <c r="L64" s="55"/>
      <c r="M64" s="54"/>
      <c r="N64" s="54"/>
      <c r="O64" s="54"/>
      <c r="P64" s="54"/>
      <c r="Q64" s="54"/>
      <c r="R64" s="54"/>
      <c r="S64" s="54"/>
      <c r="T64" s="46">
        <f t="shared" si="16"/>
        <v>0</v>
      </c>
      <c r="U64" s="11">
        <f t="shared" si="17"/>
        <v>0</v>
      </c>
      <c r="V64" s="41"/>
    </row>
    <row r="65" spans="1:23" ht="15" customHeight="1" outlineLevel="1">
      <c r="A65" s="382"/>
      <c r="B65" s="95" t="s">
        <v>12</v>
      </c>
      <c r="C65" s="96">
        <f t="shared" si="18"/>
        <v>263.67109375000001</v>
      </c>
      <c r="D65" s="49">
        <v>674998</v>
      </c>
      <c r="E65" s="50"/>
      <c r="F65" s="50"/>
      <c r="G65" s="51"/>
      <c r="H65" s="56" t="s">
        <v>72</v>
      </c>
      <c r="I65" s="53"/>
      <c r="J65" s="54"/>
      <c r="K65" s="55"/>
      <c r="L65" s="55"/>
      <c r="M65" s="54"/>
      <c r="N65" s="54"/>
      <c r="O65" s="54"/>
      <c r="P65" s="54"/>
      <c r="Q65" s="54"/>
      <c r="R65" s="54"/>
      <c r="S65" s="54"/>
      <c r="T65" s="46">
        <f t="shared" si="16"/>
        <v>0</v>
      </c>
      <c r="U65" s="11">
        <f t="shared" si="17"/>
        <v>0</v>
      </c>
      <c r="V65" s="41"/>
    </row>
    <row r="66" spans="1:23" ht="15" customHeight="1" outlineLevel="1">
      <c r="A66" s="382"/>
      <c r="B66" s="95" t="s">
        <v>13</v>
      </c>
      <c r="C66" s="96">
        <f t="shared" si="18"/>
        <v>573.13515625000002</v>
      </c>
      <c r="D66" s="49">
        <v>1467226</v>
      </c>
      <c r="E66" s="50"/>
      <c r="F66" s="50"/>
      <c r="G66" s="51"/>
      <c r="H66" s="56"/>
      <c r="I66" s="53"/>
      <c r="J66" s="54"/>
      <c r="K66" s="55"/>
      <c r="L66" s="55"/>
      <c r="M66" s="54"/>
      <c r="N66" s="54"/>
      <c r="O66" s="54"/>
      <c r="P66" s="54"/>
      <c r="Q66" s="54"/>
      <c r="R66" s="54"/>
      <c r="S66" s="54"/>
      <c r="T66" s="46">
        <f t="shared" si="16"/>
        <v>0</v>
      </c>
      <c r="U66" s="11">
        <f t="shared" si="17"/>
        <v>0</v>
      </c>
      <c r="V66" s="41"/>
    </row>
    <row r="67" spans="1:23" ht="15" customHeight="1" outlineLevel="1">
      <c r="A67" s="382"/>
      <c r="B67" s="95" t="s">
        <v>14</v>
      </c>
      <c r="C67" s="96">
        <f t="shared" si="18"/>
        <v>206.79140624999999</v>
      </c>
      <c r="D67" s="49">
        <v>529386</v>
      </c>
      <c r="E67" s="50"/>
      <c r="F67" s="50"/>
      <c r="G67" s="51"/>
      <c r="H67" s="56"/>
      <c r="I67" s="53"/>
      <c r="J67" s="54"/>
      <c r="K67" s="55"/>
      <c r="L67" s="55"/>
      <c r="M67" s="54"/>
      <c r="N67" s="54"/>
      <c r="O67" s="54"/>
      <c r="P67" s="54"/>
      <c r="Q67" s="54"/>
      <c r="R67" s="54"/>
      <c r="S67" s="54"/>
      <c r="T67" s="46">
        <f t="shared" si="16"/>
        <v>0</v>
      </c>
      <c r="U67" s="11">
        <f t="shared" si="17"/>
        <v>0</v>
      </c>
      <c r="V67" s="41"/>
    </row>
    <row r="68" spans="1:23" ht="15.75" customHeight="1" outlineLevel="1">
      <c r="A68" s="382"/>
      <c r="B68" s="10" t="s">
        <v>18</v>
      </c>
      <c r="C68" s="109">
        <f>SUM(C56:C67)</f>
        <v>7094.8546875000011</v>
      </c>
      <c r="D68" s="59">
        <f>SUM(D56:D67)</f>
        <v>17401868</v>
      </c>
      <c r="E68" s="78">
        <f>SUM(E56:E67)</f>
        <v>4320</v>
      </c>
      <c r="F68" s="110">
        <f>SUM(F56:F67)</f>
        <v>12623040</v>
      </c>
      <c r="G68" s="60">
        <f>SUM(G56:G67)</f>
        <v>4320</v>
      </c>
      <c r="H68" s="61"/>
      <c r="I68" s="81">
        <f>SUM(I56:I67)</f>
        <v>12623040</v>
      </c>
      <c r="J68" s="105">
        <f>SUM(J56:J67)</f>
        <v>0</v>
      </c>
      <c r="K68" s="105">
        <f t="shared" ref="K68:T81" si="19">SUM(K56:K67)</f>
        <v>0</v>
      </c>
      <c r="L68" s="105">
        <f t="shared" si="19"/>
        <v>0</v>
      </c>
      <c r="M68" s="105">
        <f t="shared" si="19"/>
        <v>0</v>
      </c>
      <c r="N68" s="105">
        <f t="shared" si="19"/>
        <v>0</v>
      </c>
      <c r="O68" s="105">
        <f t="shared" si="19"/>
        <v>0</v>
      </c>
      <c r="P68" s="105">
        <f t="shared" si="19"/>
        <v>0</v>
      </c>
      <c r="Q68" s="105">
        <f t="shared" si="19"/>
        <v>0</v>
      </c>
      <c r="R68" s="105">
        <f t="shared" si="19"/>
        <v>0</v>
      </c>
      <c r="S68" s="105">
        <f t="shared" si="19"/>
        <v>0</v>
      </c>
      <c r="T68" s="105">
        <f t="shared" si="19"/>
        <v>0</v>
      </c>
      <c r="U68" s="11">
        <f>SUM(U56:U67)</f>
        <v>0</v>
      </c>
      <c r="V68" s="41"/>
    </row>
    <row r="69" spans="1:23" ht="44.1" customHeight="1">
      <c r="A69" s="386" t="s">
        <v>19</v>
      </c>
      <c r="B69" s="387" t="s">
        <v>102</v>
      </c>
      <c r="C69" s="387"/>
      <c r="D69" s="388"/>
      <c r="E69" s="388"/>
      <c r="F69" s="388"/>
      <c r="G69" s="388"/>
      <c r="H69" s="388"/>
      <c r="I69" s="388"/>
      <c r="J69" s="388"/>
      <c r="K69" s="388"/>
      <c r="L69" s="388"/>
      <c r="M69" s="388"/>
      <c r="N69" s="388"/>
      <c r="O69" s="388"/>
      <c r="P69" s="388"/>
      <c r="Q69" s="388"/>
      <c r="R69" s="388"/>
      <c r="S69" s="388"/>
      <c r="T69" s="388"/>
      <c r="U69" s="388"/>
      <c r="V69" s="111">
        <f>(F81/I81)*100 -100</f>
        <v>127.87896592244419</v>
      </c>
    </row>
    <row r="70" spans="1:23" ht="15" customHeight="1" outlineLevel="1">
      <c r="A70" s="386"/>
      <c r="B70" s="112" t="s">
        <v>16</v>
      </c>
      <c r="C70" s="113">
        <v>5500</v>
      </c>
      <c r="D70" s="114">
        <f>C70*2460</f>
        <v>13530000</v>
      </c>
      <c r="E70" s="115">
        <v>9675</v>
      </c>
      <c r="F70" s="115">
        <f t="shared" ref="F70:F80" si="20">E70*$V$6</f>
        <v>28270350</v>
      </c>
      <c r="G70" s="115">
        <v>4336</v>
      </c>
      <c r="H70" s="115" t="s">
        <v>77</v>
      </c>
      <c r="I70" s="114">
        <f t="shared" ref="I70:I80" si="21">G70*$V$6</f>
        <v>12669792</v>
      </c>
      <c r="J70" s="115">
        <v>4404</v>
      </c>
      <c r="K70" s="114"/>
      <c r="L70" s="115">
        <v>4417</v>
      </c>
      <c r="M70" s="114"/>
      <c r="N70" s="115">
        <v>4368</v>
      </c>
      <c r="O70" s="114"/>
      <c r="P70" s="115">
        <v>4374</v>
      </c>
      <c r="Q70" s="114"/>
      <c r="R70" s="115">
        <v>4374</v>
      </c>
      <c r="S70" s="114"/>
      <c r="T70" s="46">
        <f t="shared" ref="T70:T80" si="22">SUM(J70,L70,N70,P70,R70)</f>
        <v>21937</v>
      </c>
      <c r="U70" s="11">
        <f t="shared" ref="U70:U80" si="23">SUM(K70,M70,O70,Q70,S70)</f>
        <v>0</v>
      </c>
      <c r="V70" s="111">
        <f t="shared" ref="V70:V81" si="24">(E70/C70)*100 -100</f>
        <v>75.909090909090907</v>
      </c>
      <c r="W70" s="373" t="s">
        <v>103</v>
      </c>
    </row>
    <row r="71" spans="1:23" ht="15" customHeight="1" outlineLevel="1">
      <c r="A71" s="386"/>
      <c r="B71" s="116" t="s">
        <v>21</v>
      </c>
      <c r="C71" s="117">
        <v>717</v>
      </c>
      <c r="D71" s="118">
        <v>1836192</v>
      </c>
      <c r="E71" s="119">
        <v>402</v>
      </c>
      <c r="F71" s="119">
        <f t="shared" si="20"/>
        <v>1174644</v>
      </c>
      <c r="G71" s="120">
        <v>402</v>
      </c>
      <c r="H71" s="115" t="s">
        <v>104</v>
      </c>
      <c r="I71" s="121">
        <f t="shared" si="21"/>
        <v>1174644</v>
      </c>
      <c r="J71" s="115">
        <v>402</v>
      </c>
      <c r="K71" s="114"/>
      <c r="L71" s="115">
        <v>402</v>
      </c>
      <c r="M71" s="114"/>
      <c r="N71" s="115">
        <v>402</v>
      </c>
      <c r="O71" s="114"/>
      <c r="P71" s="115">
        <v>402</v>
      </c>
      <c r="Q71" s="114"/>
      <c r="R71" s="115">
        <v>402</v>
      </c>
      <c r="S71" s="114"/>
      <c r="T71" s="46">
        <f t="shared" si="22"/>
        <v>2010</v>
      </c>
      <c r="U71" s="11">
        <f t="shared" si="23"/>
        <v>0</v>
      </c>
      <c r="V71" s="111">
        <f t="shared" si="24"/>
        <v>-43.93305439330544</v>
      </c>
      <c r="W71" s="373"/>
    </row>
    <row r="72" spans="1:23" ht="15" customHeight="1" outlineLevel="1">
      <c r="A72" s="386"/>
      <c r="B72" s="116" t="s">
        <v>22</v>
      </c>
      <c r="C72" s="117">
        <v>762</v>
      </c>
      <c r="D72" s="118">
        <v>1949720</v>
      </c>
      <c r="E72" s="119">
        <v>467</v>
      </c>
      <c r="F72" s="119">
        <f t="shared" si="20"/>
        <v>1364574</v>
      </c>
      <c r="G72" s="120">
        <v>467</v>
      </c>
      <c r="H72" s="115"/>
      <c r="I72" s="121">
        <f t="shared" si="21"/>
        <v>1364574</v>
      </c>
      <c r="J72" s="115">
        <v>467</v>
      </c>
      <c r="K72" s="114"/>
      <c r="L72" s="115">
        <v>467</v>
      </c>
      <c r="M72" s="114"/>
      <c r="N72" s="115">
        <v>467</v>
      </c>
      <c r="O72" s="114"/>
      <c r="P72" s="115">
        <v>467</v>
      </c>
      <c r="Q72" s="114"/>
      <c r="R72" s="115">
        <v>467</v>
      </c>
      <c r="S72" s="114"/>
      <c r="T72" s="46">
        <f t="shared" si="22"/>
        <v>2335</v>
      </c>
      <c r="U72" s="11">
        <f t="shared" si="23"/>
        <v>0</v>
      </c>
      <c r="V72" s="111">
        <f t="shared" si="24"/>
        <v>-38.713910761154857</v>
      </c>
      <c r="W72" s="373"/>
    </row>
    <row r="73" spans="1:23" ht="15" customHeight="1" outlineLevel="1">
      <c r="A73" s="386"/>
      <c r="B73" s="116" t="s">
        <v>23</v>
      </c>
      <c r="C73" s="117">
        <v>418</v>
      </c>
      <c r="D73" s="118">
        <v>1068644</v>
      </c>
      <c r="E73" s="119">
        <v>281</v>
      </c>
      <c r="F73" s="119">
        <f t="shared" si="20"/>
        <v>821082</v>
      </c>
      <c r="G73" s="120">
        <v>281</v>
      </c>
      <c r="H73" s="115" t="s">
        <v>104</v>
      </c>
      <c r="I73" s="121">
        <f t="shared" si="21"/>
        <v>821082</v>
      </c>
      <c r="J73" s="115">
        <v>281</v>
      </c>
      <c r="K73" s="114"/>
      <c r="L73" s="115">
        <v>281</v>
      </c>
      <c r="M73" s="114"/>
      <c r="N73" s="115">
        <v>281</v>
      </c>
      <c r="O73" s="114"/>
      <c r="P73" s="115">
        <v>281</v>
      </c>
      <c r="Q73" s="121"/>
      <c r="R73" s="115">
        <v>281</v>
      </c>
      <c r="S73" s="121"/>
      <c r="T73" s="46">
        <f t="shared" si="22"/>
        <v>1405</v>
      </c>
      <c r="U73" s="11">
        <f t="shared" si="23"/>
        <v>0</v>
      </c>
      <c r="V73" s="111">
        <f t="shared" si="24"/>
        <v>-32.775119617224874</v>
      </c>
      <c r="W73" s="373"/>
    </row>
    <row r="74" spans="1:23" ht="15" customHeight="1" outlineLevel="1">
      <c r="A74" s="386"/>
      <c r="B74" s="116" t="s">
        <v>105</v>
      </c>
      <c r="C74" s="117">
        <v>918</v>
      </c>
      <c r="D74" s="118">
        <v>2352004</v>
      </c>
      <c r="E74" s="119">
        <v>1518</v>
      </c>
      <c r="F74" s="119">
        <f t="shared" si="20"/>
        <v>4435596</v>
      </c>
      <c r="G74" s="120">
        <v>599</v>
      </c>
      <c r="H74" s="115" t="s">
        <v>104</v>
      </c>
      <c r="I74" s="121">
        <f t="shared" si="21"/>
        <v>1750278</v>
      </c>
      <c r="J74" s="115">
        <v>599</v>
      </c>
      <c r="K74" s="114"/>
      <c r="L74" s="115">
        <v>599</v>
      </c>
      <c r="M74" s="114"/>
      <c r="N74" s="115">
        <v>599</v>
      </c>
      <c r="O74" s="114"/>
      <c r="P74" s="115">
        <v>599</v>
      </c>
      <c r="Q74" s="121"/>
      <c r="R74" s="115">
        <v>599</v>
      </c>
      <c r="S74" s="121"/>
      <c r="T74" s="46">
        <f t="shared" si="22"/>
        <v>2995</v>
      </c>
      <c r="U74" s="11">
        <f t="shared" si="23"/>
        <v>0</v>
      </c>
      <c r="V74" s="111">
        <f t="shared" si="24"/>
        <v>65.359477124183002</v>
      </c>
      <c r="W74" s="373"/>
    </row>
    <row r="75" spans="1:23" ht="15" customHeight="1" outlineLevel="1">
      <c r="A75" s="386"/>
      <c r="B75" s="116" t="s">
        <v>106</v>
      </c>
      <c r="C75" s="117">
        <v>5859</v>
      </c>
      <c r="D75" s="118">
        <v>14998036</v>
      </c>
      <c r="E75" s="119">
        <v>8159</v>
      </c>
      <c r="F75" s="119">
        <f t="shared" si="20"/>
        <v>23840598</v>
      </c>
      <c r="G75" s="120">
        <v>1358</v>
      </c>
      <c r="H75" s="122" t="s">
        <v>77</v>
      </c>
      <c r="I75" s="121">
        <f t="shared" si="21"/>
        <v>3968076</v>
      </c>
      <c r="J75" s="115">
        <v>1358</v>
      </c>
      <c r="K75" s="114"/>
      <c r="L75" s="115">
        <v>1358</v>
      </c>
      <c r="M75" s="114"/>
      <c r="N75" s="115">
        <v>1358</v>
      </c>
      <c r="O75" s="114"/>
      <c r="P75" s="115">
        <v>1358</v>
      </c>
      <c r="Q75" s="121"/>
      <c r="R75" s="115">
        <v>1358</v>
      </c>
      <c r="S75" s="121"/>
      <c r="T75" s="46">
        <f t="shared" si="22"/>
        <v>6790</v>
      </c>
      <c r="U75" s="11">
        <f t="shared" si="23"/>
        <v>0</v>
      </c>
      <c r="V75" s="111">
        <f t="shared" si="24"/>
        <v>39.255845707458604</v>
      </c>
      <c r="W75" s="373"/>
    </row>
    <row r="76" spans="1:23" ht="15" customHeight="1" outlineLevel="1">
      <c r="A76" s="386"/>
      <c r="B76" s="116" t="s">
        <v>25</v>
      </c>
      <c r="C76" s="117">
        <v>965</v>
      </c>
      <c r="D76" s="118">
        <v>2470468</v>
      </c>
      <c r="E76" s="119">
        <v>606</v>
      </c>
      <c r="F76" s="119">
        <f t="shared" si="20"/>
        <v>1770732</v>
      </c>
      <c r="G76" s="120">
        <v>606</v>
      </c>
      <c r="H76" s="115" t="s">
        <v>77</v>
      </c>
      <c r="I76" s="121">
        <f t="shared" si="21"/>
        <v>1770732</v>
      </c>
      <c r="J76" s="115">
        <v>606</v>
      </c>
      <c r="K76" s="114"/>
      <c r="L76" s="115">
        <v>606</v>
      </c>
      <c r="M76" s="114"/>
      <c r="N76" s="115">
        <v>606</v>
      </c>
      <c r="O76" s="114"/>
      <c r="P76" s="115">
        <v>606</v>
      </c>
      <c r="Q76" s="121"/>
      <c r="R76" s="115">
        <v>606</v>
      </c>
      <c r="S76" s="121"/>
      <c r="T76" s="46">
        <f t="shared" si="22"/>
        <v>3030</v>
      </c>
      <c r="U76" s="11">
        <f t="shared" si="23"/>
        <v>0</v>
      </c>
      <c r="V76" s="111">
        <f t="shared" si="24"/>
        <v>-37.202072538860101</v>
      </c>
      <c r="W76" s="373"/>
    </row>
    <row r="77" spans="1:23" ht="15" customHeight="1" outlineLevel="1">
      <c r="A77" s="386"/>
      <c r="B77" s="116" t="s">
        <v>26</v>
      </c>
      <c r="C77" s="117">
        <v>257</v>
      </c>
      <c r="D77" s="118">
        <v>656448</v>
      </c>
      <c r="E77" s="119">
        <v>158</v>
      </c>
      <c r="F77" s="119">
        <f t="shared" si="20"/>
        <v>461676</v>
      </c>
      <c r="G77" s="120">
        <v>158</v>
      </c>
      <c r="H77" s="115" t="s">
        <v>77</v>
      </c>
      <c r="I77" s="121">
        <f t="shared" si="21"/>
        <v>461676</v>
      </c>
      <c r="J77" s="115">
        <v>158</v>
      </c>
      <c r="K77" s="114"/>
      <c r="L77" s="115">
        <v>158</v>
      </c>
      <c r="M77" s="114"/>
      <c r="N77" s="115">
        <v>158</v>
      </c>
      <c r="O77" s="114"/>
      <c r="P77" s="115">
        <v>158</v>
      </c>
      <c r="Q77" s="114"/>
      <c r="R77" s="115">
        <v>158</v>
      </c>
      <c r="S77" s="114"/>
      <c r="T77" s="46">
        <f t="shared" si="22"/>
        <v>790</v>
      </c>
      <c r="U77" s="11">
        <f t="shared" si="23"/>
        <v>0</v>
      </c>
      <c r="V77" s="111">
        <f t="shared" si="24"/>
        <v>-38.521400778210115</v>
      </c>
      <c r="W77" s="373"/>
    </row>
    <row r="78" spans="1:23" ht="15" customHeight="1" outlineLevel="1">
      <c r="A78" s="386"/>
      <c r="B78" s="116" t="s">
        <v>27</v>
      </c>
      <c r="C78" s="117">
        <v>634</v>
      </c>
      <c r="D78" s="118">
        <v>1621476</v>
      </c>
      <c r="E78" s="119">
        <v>384</v>
      </c>
      <c r="F78" s="119">
        <f t="shared" si="20"/>
        <v>1122048</v>
      </c>
      <c r="G78" s="120">
        <v>384</v>
      </c>
      <c r="H78" s="115" t="s">
        <v>77</v>
      </c>
      <c r="I78" s="121">
        <f t="shared" si="21"/>
        <v>1122048</v>
      </c>
      <c r="J78" s="115">
        <v>384</v>
      </c>
      <c r="K78" s="114"/>
      <c r="L78" s="115">
        <v>384</v>
      </c>
      <c r="M78" s="114"/>
      <c r="N78" s="115">
        <v>384</v>
      </c>
      <c r="O78" s="114"/>
      <c r="P78" s="115">
        <v>384</v>
      </c>
      <c r="Q78" s="121"/>
      <c r="R78" s="115">
        <v>384</v>
      </c>
      <c r="S78" s="121"/>
      <c r="T78" s="46">
        <f t="shared" si="22"/>
        <v>1920</v>
      </c>
      <c r="U78" s="11">
        <f t="shared" si="23"/>
        <v>0</v>
      </c>
      <c r="V78" s="111">
        <f t="shared" si="24"/>
        <v>-39.43217665615142</v>
      </c>
      <c r="W78" s="373"/>
    </row>
    <row r="79" spans="1:23" ht="15" customHeight="1" outlineLevel="1">
      <c r="A79" s="386"/>
      <c r="B79" s="116" t="s">
        <v>28</v>
      </c>
      <c r="C79" s="117">
        <v>510</v>
      </c>
      <c r="D79" s="118">
        <v>1305572</v>
      </c>
      <c r="E79" s="119">
        <v>314</v>
      </c>
      <c r="F79" s="119">
        <f t="shared" si="20"/>
        <v>917508</v>
      </c>
      <c r="G79" s="120">
        <v>314</v>
      </c>
      <c r="H79" s="115"/>
      <c r="I79" s="121">
        <f t="shared" si="21"/>
        <v>917508</v>
      </c>
      <c r="J79" s="115">
        <v>314</v>
      </c>
      <c r="K79" s="114"/>
      <c r="L79" s="115">
        <v>314</v>
      </c>
      <c r="M79" s="114"/>
      <c r="N79" s="115">
        <v>314</v>
      </c>
      <c r="O79" s="114"/>
      <c r="P79" s="115">
        <v>314</v>
      </c>
      <c r="Q79" s="121"/>
      <c r="R79" s="115">
        <v>314</v>
      </c>
      <c r="S79" s="121"/>
      <c r="T79" s="46">
        <f t="shared" si="22"/>
        <v>1570</v>
      </c>
      <c r="U79" s="11">
        <f t="shared" si="23"/>
        <v>0</v>
      </c>
      <c r="V79" s="111">
        <f t="shared" si="24"/>
        <v>-38.431372549019606</v>
      </c>
      <c r="W79" s="373"/>
    </row>
    <row r="80" spans="1:23" ht="15" customHeight="1" outlineLevel="1">
      <c r="A80" s="386"/>
      <c r="B80" s="116" t="s">
        <v>29</v>
      </c>
      <c r="C80" s="117">
        <v>2113</v>
      </c>
      <c r="D80" s="118">
        <v>5404920</v>
      </c>
      <c r="E80" s="119">
        <v>1307</v>
      </c>
      <c r="F80" s="119">
        <f t="shared" si="20"/>
        <v>3819054</v>
      </c>
      <c r="G80" s="120">
        <v>1307</v>
      </c>
      <c r="H80" s="115" t="s">
        <v>77</v>
      </c>
      <c r="I80" s="121">
        <f t="shared" si="21"/>
        <v>3819054</v>
      </c>
      <c r="J80" s="115">
        <v>1307</v>
      </c>
      <c r="K80" s="114"/>
      <c r="L80" s="115">
        <v>1307</v>
      </c>
      <c r="M80" s="114"/>
      <c r="N80" s="115">
        <v>1307</v>
      </c>
      <c r="O80" s="114"/>
      <c r="P80" s="115">
        <v>1307</v>
      </c>
      <c r="Q80" s="121"/>
      <c r="R80" s="115">
        <v>1307</v>
      </c>
      <c r="S80" s="121"/>
      <c r="T80" s="46">
        <f t="shared" si="22"/>
        <v>6535</v>
      </c>
      <c r="U80" s="11">
        <f t="shared" si="23"/>
        <v>0</v>
      </c>
      <c r="V80" s="111">
        <f t="shared" si="24"/>
        <v>-38.144817794604826</v>
      </c>
      <c r="W80" s="373"/>
    </row>
    <row r="81" spans="1:23" s="75" customFormat="1" ht="15.75" customHeight="1" outlineLevel="1">
      <c r="A81" s="386"/>
      <c r="B81" s="20" t="s">
        <v>18</v>
      </c>
      <c r="C81" s="123">
        <f>SUM(C70:C80)</f>
        <v>18653</v>
      </c>
      <c r="D81" s="59">
        <f>SUM(D70:D80)</f>
        <v>47193480</v>
      </c>
      <c r="E81" s="110">
        <f>SUM(E70:E80)</f>
        <v>23271</v>
      </c>
      <c r="F81" s="78">
        <f>SUM(F70:F80)</f>
        <v>67997862</v>
      </c>
      <c r="G81" s="123">
        <f>SUM(G70:G80)</f>
        <v>10212</v>
      </c>
      <c r="H81" s="124"/>
      <c r="I81" s="11">
        <f>SUM(I70:I80)</f>
        <v>29839464</v>
      </c>
      <c r="J81" s="105">
        <f>SUM(J69:J80)</f>
        <v>10280</v>
      </c>
      <c r="K81" s="105">
        <f t="shared" si="19"/>
        <v>0</v>
      </c>
      <c r="L81" s="105">
        <f t="shared" si="19"/>
        <v>10293</v>
      </c>
      <c r="M81" s="105">
        <f t="shared" si="19"/>
        <v>0</v>
      </c>
      <c r="N81" s="105">
        <f t="shared" si="19"/>
        <v>10244</v>
      </c>
      <c r="O81" s="105">
        <f t="shared" si="19"/>
        <v>0</v>
      </c>
      <c r="P81" s="105">
        <f t="shared" si="19"/>
        <v>10250</v>
      </c>
      <c r="Q81" s="105">
        <f t="shared" si="19"/>
        <v>0</v>
      </c>
      <c r="R81" s="105">
        <f t="shared" si="19"/>
        <v>10250</v>
      </c>
      <c r="S81" s="105">
        <f t="shared" si="19"/>
        <v>0</v>
      </c>
      <c r="T81" s="124">
        <f>SUM(G81,J81,L81,N81,P81)</f>
        <v>51279</v>
      </c>
      <c r="U81" s="11">
        <f>SUM(U70:U80)</f>
        <v>0</v>
      </c>
      <c r="V81" s="111">
        <f t="shared" si="24"/>
        <v>24.757411676405951</v>
      </c>
      <c r="W81" s="111">
        <f>(F81/D81)*100 -100</f>
        <v>44.083169963308507</v>
      </c>
    </row>
    <row r="82" spans="1:23" ht="41.1" customHeight="1">
      <c r="A82" s="386" t="s">
        <v>37</v>
      </c>
      <c r="B82" s="387" t="s">
        <v>107</v>
      </c>
      <c r="C82" s="387"/>
      <c r="D82" s="388"/>
      <c r="E82" s="388"/>
      <c r="F82" s="388"/>
      <c r="G82" s="388"/>
      <c r="H82" s="388"/>
      <c r="I82" s="388"/>
      <c r="J82" s="388"/>
      <c r="K82" s="388"/>
      <c r="L82" s="388"/>
      <c r="M82" s="388"/>
      <c r="N82" s="388"/>
      <c r="O82" s="388"/>
      <c r="P82" s="388"/>
      <c r="Q82" s="388"/>
      <c r="R82" s="388"/>
      <c r="S82" s="388"/>
      <c r="T82" s="388"/>
      <c r="U82" s="388"/>
      <c r="V82" s="41"/>
    </row>
    <row r="83" spans="1:23" ht="15" customHeight="1" outlineLevel="1">
      <c r="A83" s="386"/>
      <c r="B83" s="125" t="s">
        <v>21</v>
      </c>
      <c r="C83" s="126">
        <f t="shared" ref="C83:C99" si="25">D83/2680</f>
        <v>501</v>
      </c>
      <c r="D83" s="49">
        <v>1342680</v>
      </c>
      <c r="E83" s="127">
        <v>366</v>
      </c>
      <c r="F83" s="50">
        <f t="shared" ref="F83:F99" si="26">E83*2922</f>
        <v>1069452</v>
      </c>
      <c r="G83" s="128">
        <v>544</v>
      </c>
      <c r="H83" s="129" t="s">
        <v>72</v>
      </c>
      <c r="I83" s="54">
        <f t="shared" ref="I83:I99" si="27">G83*$V$6</f>
        <v>1589568</v>
      </c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46">
        <f t="shared" ref="T83:T99" si="28">SUM(J83,L83,N83,P83,R83)</f>
        <v>0</v>
      </c>
      <c r="U83" s="11">
        <f t="shared" ref="U83:U99" si="29">SUM(K83,M83,O83,Q83,S83)</f>
        <v>0</v>
      </c>
      <c r="V83" s="41">
        <f t="shared" ref="V83:V100" si="30">(G83/C83)*100 -100</f>
        <v>8.5828343313373239</v>
      </c>
    </row>
    <row r="84" spans="1:23" ht="15" customHeight="1" outlineLevel="1">
      <c r="A84" s="386"/>
      <c r="B84" s="125" t="s">
        <v>108</v>
      </c>
      <c r="C84" s="126">
        <f t="shared" si="25"/>
        <v>3570</v>
      </c>
      <c r="D84" s="49">
        <v>9567600</v>
      </c>
      <c r="E84" s="127">
        <v>3617</v>
      </c>
      <c r="F84" s="50">
        <f t="shared" si="26"/>
        <v>10568874</v>
      </c>
      <c r="G84" s="128">
        <v>3617</v>
      </c>
      <c r="H84" s="129" t="s">
        <v>109</v>
      </c>
      <c r="I84" s="54">
        <f t="shared" si="27"/>
        <v>10568874</v>
      </c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46">
        <f t="shared" si="28"/>
        <v>0</v>
      </c>
      <c r="U84" s="11">
        <f t="shared" si="29"/>
        <v>0</v>
      </c>
      <c r="V84" s="41">
        <f t="shared" si="30"/>
        <v>1.3165266106442459</v>
      </c>
    </row>
    <row r="85" spans="1:23" ht="15" customHeight="1" outlineLevel="1">
      <c r="A85" s="386"/>
      <c r="B85" s="125" t="s">
        <v>22</v>
      </c>
      <c r="C85" s="126">
        <f t="shared" si="25"/>
        <v>448</v>
      </c>
      <c r="D85" s="49">
        <v>1200640</v>
      </c>
      <c r="E85" s="127">
        <v>486</v>
      </c>
      <c r="F85" s="50">
        <f t="shared" si="26"/>
        <v>1420092</v>
      </c>
      <c r="G85" s="128">
        <v>486</v>
      </c>
      <c r="H85" s="130"/>
      <c r="I85" s="54">
        <f t="shared" si="27"/>
        <v>1420092</v>
      </c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46">
        <f t="shared" si="28"/>
        <v>0</v>
      </c>
      <c r="U85" s="11">
        <f t="shared" si="29"/>
        <v>0</v>
      </c>
      <c r="V85" s="41">
        <f t="shared" si="30"/>
        <v>8.4821428571428612</v>
      </c>
    </row>
    <row r="86" spans="1:23" ht="15" customHeight="1" outlineLevel="1">
      <c r="A86" s="386"/>
      <c r="B86" s="125" t="s">
        <v>23</v>
      </c>
      <c r="C86" s="126">
        <f t="shared" si="25"/>
        <v>425</v>
      </c>
      <c r="D86" s="49">
        <v>1139000</v>
      </c>
      <c r="E86" s="127">
        <v>300</v>
      </c>
      <c r="F86" s="50">
        <f t="shared" si="26"/>
        <v>876600</v>
      </c>
      <c r="G86" s="128">
        <v>300</v>
      </c>
      <c r="H86" s="129" t="s">
        <v>72</v>
      </c>
      <c r="I86" s="54">
        <f t="shared" si="27"/>
        <v>876600</v>
      </c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46">
        <f t="shared" si="28"/>
        <v>0</v>
      </c>
      <c r="U86" s="11">
        <f t="shared" si="29"/>
        <v>0</v>
      </c>
      <c r="V86" s="41">
        <f t="shared" si="30"/>
        <v>-29.411764705882348</v>
      </c>
    </row>
    <row r="87" spans="1:23" ht="15" customHeight="1" outlineLevel="1">
      <c r="A87" s="386"/>
      <c r="B87" s="125" t="s">
        <v>105</v>
      </c>
      <c r="C87" s="126">
        <f t="shared" si="25"/>
        <v>416</v>
      </c>
      <c r="D87" s="49">
        <v>1114880</v>
      </c>
      <c r="E87" s="127">
        <v>452</v>
      </c>
      <c r="F87" s="50">
        <f t="shared" si="26"/>
        <v>1320744</v>
      </c>
      <c r="G87" s="128">
        <v>452</v>
      </c>
      <c r="H87" s="130" t="s">
        <v>110</v>
      </c>
      <c r="I87" s="54">
        <f t="shared" si="27"/>
        <v>1320744</v>
      </c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46">
        <f t="shared" si="28"/>
        <v>0</v>
      </c>
      <c r="U87" s="11">
        <f t="shared" si="29"/>
        <v>0</v>
      </c>
      <c r="V87" s="41">
        <f t="shared" si="30"/>
        <v>8.6538461538461462</v>
      </c>
    </row>
    <row r="88" spans="1:23" ht="15" customHeight="1" outlineLevel="1">
      <c r="A88" s="386"/>
      <c r="B88" s="125" t="s">
        <v>106</v>
      </c>
      <c r="C88" s="126">
        <f t="shared" si="25"/>
        <v>2532</v>
      </c>
      <c r="D88" s="49">
        <v>6785760</v>
      </c>
      <c r="E88" s="127">
        <v>2200</v>
      </c>
      <c r="F88" s="50">
        <f t="shared" si="26"/>
        <v>6428400</v>
      </c>
      <c r="G88" s="128">
        <v>2530</v>
      </c>
      <c r="H88" s="129" t="s">
        <v>72</v>
      </c>
      <c r="I88" s="54">
        <f t="shared" si="27"/>
        <v>7392660</v>
      </c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46">
        <f t="shared" si="28"/>
        <v>0</v>
      </c>
      <c r="U88" s="11">
        <f t="shared" si="29"/>
        <v>0</v>
      </c>
      <c r="V88" s="41">
        <f t="shared" si="30"/>
        <v>-7.8988941548189473E-2</v>
      </c>
    </row>
    <row r="89" spans="1:23" ht="15" customHeight="1" outlineLevel="1">
      <c r="A89" s="386"/>
      <c r="B89" s="125" t="s">
        <v>25</v>
      </c>
      <c r="C89" s="126">
        <f t="shared" si="25"/>
        <v>709</v>
      </c>
      <c r="D89" s="49">
        <v>1900120</v>
      </c>
      <c r="E89" s="127">
        <v>1000</v>
      </c>
      <c r="F89" s="50">
        <f t="shared" si="26"/>
        <v>2922000</v>
      </c>
      <c r="G89" s="128">
        <v>1000</v>
      </c>
      <c r="H89" s="129" t="s">
        <v>111</v>
      </c>
      <c r="I89" s="54">
        <f t="shared" si="27"/>
        <v>2922000</v>
      </c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46">
        <f t="shared" si="28"/>
        <v>0</v>
      </c>
      <c r="U89" s="11">
        <f t="shared" si="29"/>
        <v>0</v>
      </c>
      <c r="V89" s="41">
        <f t="shared" si="30"/>
        <v>41.043723554301835</v>
      </c>
    </row>
    <row r="90" spans="1:23" ht="15" customHeight="1" outlineLevel="1">
      <c r="A90" s="386"/>
      <c r="B90" s="125" t="s">
        <v>26</v>
      </c>
      <c r="C90" s="126">
        <f t="shared" si="25"/>
        <v>368</v>
      </c>
      <c r="D90" s="49">
        <v>986240</v>
      </c>
      <c r="E90" s="127">
        <v>400</v>
      </c>
      <c r="F90" s="50">
        <f t="shared" si="26"/>
        <v>1168800</v>
      </c>
      <c r="G90" s="128">
        <v>400</v>
      </c>
      <c r="H90" s="129" t="s">
        <v>72</v>
      </c>
      <c r="I90" s="54">
        <f t="shared" si="27"/>
        <v>1168800</v>
      </c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46">
        <f t="shared" si="28"/>
        <v>0</v>
      </c>
      <c r="U90" s="11">
        <f t="shared" si="29"/>
        <v>0</v>
      </c>
      <c r="V90" s="41">
        <f t="shared" si="30"/>
        <v>8.6956521739130324</v>
      </c>
    </row>
    <row r="91" spans="1:23" ht="15" customHeight="1" outlineLevel="1">
      <c r="A91" s="386"/>
      <c r="B91" s="125" t="s">
        <v>27</v>
      </c>
      <c r="C91" s="126">
        <f t="shared" si="25"/>
        <v>717</v>
      </c>
      <c r="D91" s="49">
        <v>1921560</v>
      </c>
      <c r="E91" s="127">
        <v>779</v>
      </c>
      <c r="F91" s="50">
        <f t="shared" si="26"/>
        <v>2276238</v>
      </c>
      <c r="G91" s="128">
        <v>779</v>
      </c>
      <c r="H91" s="129" t="s">
        <v>72</v>
      </c>
      <c r="I91" s="54">
        <f t="shared" si="27"/>
        <v>2276238</v>
      </c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46">
        <f t="shared" si="28"/>
        <v>0</v>
      </c>
      <c r="U91" s="11">
        <f t="shared" si="29"/>
        <v>0</v>
      </c>
      <c r="V91" s="41">
        <f t="shared" si="30"/>
        <v>8.6471408647140748</v>
      </c>
    </row>
    <row r="92" spans="1:23" ht="15" customHeight="1" outlineLevel="1">
      <c r="A92" s="386"/>
      <c r="B92" s="125" t="s">
        <v>28</v>
      </c>
      <c r="C92" s="126">
        <f t="shared" si="25"/>
        <v>498</v>
      </c>
      <c r="D92" s="49">
        <v>1334640</v>
      </c>
      <c r="E92" s="127">
        <v>362</v>
      </c>
      <c r="F92" s="50">
        <f t="shared" si="26"/>
        <v>1057764</v>
      </c>
      <c r="G92" s="128">
        <v>362</v>
      </c>
      <c r="H92" s="130"/>
      <c r="I92" s="54">
        <f t="shared" si="27"/>
        <v>1057764</v>
      </c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46">
        <f t="shared" si="28"/>
        <v>0</v>
      </c>
      <c r="U92" s="11">
        <f t="shared" si="29"/>
        <v>0</v>
      </c>
      <c r="V92" s="41">
        <f t="shared" si="30"/>
        <v>-27.309236947791163</v>
      </c>
    </row>
    <row r="93" spans="1:23" ht="15" customHeight="1" outlineLevel="1">
      <c r="A93" s="386"/>
      <c r="B93" s="125" t="s">
        <v>29</v>
      </c>
      <c r="C93" s="126">
        <f t="shared" si="25"/>
        <v>1082</v>
      </c>
      <c r="D93" s="49">
        <v>2899760</v>
      </c>
      <c r="E93" s="127">
        <v>800</v>
      </c>
      <c r="F93" s="50">
        <f t="shared" si="26"/>
        <v>2337600</v>
      </c>
      <c r="G93" s="128">
        <v>1174</v>
      </c>
      <c r="H93" s="129" t="s">
        <v>72</v>
      </c>
      <c r="I93" s="54">
        <f t="shared" si="27"/>
        <v>3430428</v>
      </c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46">
        <f t="shared" si="28"/>
        <v>0</v>
      </c>
      <c r="U93" s="11">
        <f t="shared" si="29"/>
        <v>0</v>
      </c>
      <c r="V93" s="41">
        <f t="shared" si="30"/>
        <v>8.5027726432532376</v>
      </c>
    </row>
    <row r="94" spans="1:23" ht="15" customHeight="1" outlineLevel="1">
      <c r="A94" s="386"/>
      <c r="B94" s="125" t="s">
        <v>112</v>
      </c>
      <c r="C94" s="126">
        <f t="shared" si="25"/>
        <v>1190</v>
      </c>
      <c r="D94" s="49">
        <v>3189200</v>
      </c>
      <c r="E94" s="127">
        <v>1292</v>
      </c>
      <c r="F94" s="50">
        <f t="shared" si="26"/>
        <v>3775224</v>
      </c>
      <c r="G94" s="128">
        <v>1292</v>
      </c>
      <c r="H94" s="130"/>
      <c r="I94" s="54">
        <f t="shared" si="27"/>
        <v>3775224</v>
      </c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46">
        <f t="shared" si="28"/>
        <v>0</v>
      </c>
      <c r="U94" s="11">
        <f t="shared" si="29"/>
        <v>0</v>
      </c>
      <c r="V94" s="41">
        <f t="shared" si="30"/>
        <v>8.5714285714285694</v>
      </c>
    </row>
    <row r="95" spans="1:23" ht="15" customHeight="1" outlineLevel="1">
      <c r="A95" s="386"/>
      <c r="B95" s="125" t="s">
        <v>113</v>
      </c>
      <c r="C95" s="126">
        <f t="shared" si="25"/>
        <v>1524</v>
      </c>
      <c r="D95" s="49">
        <v>4084320</v>
      </c>
      <c r="E95" s="127">
        <v>408</v>
      </c>
      <c r="F95" s="50">
        <f t="shared" si="26"/>
        <v>1192176</v>
      </c>
      <c r="G95" s="128">
        <v>408</v>
      </c>
      <c r="H95" s="130"/>
      <c r="I95" s="54">
        <f t="shared" si="27"/>
        <v>1192176</v>
      </c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46">
        <f t="shared" si="28"/>
        <v>0</v>
      </c>
      <c r="U95" s="11">
        <f t="shared" si="29"/>
        <v>0</v>
      </c>
      <c r="V95" s="41">
        <f t="shared" si="30"/>
        <v>-73.228346456692918</v>
      </c>
    </row>
    <row r="96" spans="1:23" ht="15" customHeight="1" outlineLevel="1">
      <c r="A96" s="386"/>
      <c r="B96" s="125" t="s">
        <v>114</v>
      </c>
      <c r="C96" s="126">
        <f t="shared" si="25"/>
        <v>688.88059701492534</v>
      </c>
      <c r="D96" s="49">
        <v>1846200</v>
      </c>
      <c r="E96" s="127">
        <v>550</v>
      </c>
      <c r="F96" s="50">
        <f t="shared" si="26"/>
        <v>1607100</v>
      </c>
      <c r="G96" s="128">
        <v>550</v>
      </c>
      <c r="H96" s="130"/>
      <c r="I96" s="54">
        <f t="shared" si="27"/>
        <v>1607100</v>
      </c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46">
        <f t="shared" si="28"/>
        <v>0</v>
      </c>
      <c r="U96" s="11">
        <f t="shared" si="29"/>
        <v>0</v>
      </c>
      <c r="V96" s="41">
        <f t="shared" si="30"/>
        <v>-20.160329325100207</v>
      </c>
    </row>
    <row r="97" spans="1:23" ht="15" customHeight="1" outlineLevel="1">
      <c r="A97" s="386"/>
      <c r="B97" s="125" t="s">
        <v>115</v>
      </c>
      <c r="C97" s="126">
        <f t="shared" si="25"/>
        <v>166</v>
      </c>
      <c r="D97" s="49">
        <v>444880</v>
      </c>
      <c r="E97" s="127">
        <v>200</v>
      </c>
      <c r="F97" s="50">
        <f t="shared" si="26"/>
        <v>584400</v>
      </c>
      <c r="G97" s="128">
        <v>200</v>
      </c>
      <c r="H97" s="130"/>
      <c r="I97" s="54">
        <f t="shared" si="27"/>
        <v>584400</v>
      </c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46">
        <f t="shared" si="28"/>
        <v>0</v>
      </c>
      <c r="U97" s="11">
        <f t="shared" si="29"/>
        <v>0</v>
      </c>
      <c r="V97" s="41">
        <f t="shared" si="30"/>
        <v>20.481927710843379</v>
      </c>
    </row>
    <row r="98" spans="1:23" ht="15" customHeight="1" outlineLevel="1">
      <c r="A98" s="386"/>
      <c r="B98" s="125" t="s">
        <v>116</v>
      </c>
      <c r="C98" s="126">
        <f t="shared" si="25"/>
        <v>330.0149253731343</v>
      </c>
      <c r="D98" s="49">
        <v>884440</v>
      </c>
      <c r="E98" s="127">
        <v>200</v>
      </c>
      <c r="F98" s="50">
        <f t="shared" si="26"/>
        <v>584400</v>
      </c>
      <c r="G98" s="128">
        <v>200</v>
      </c>
      <c r="H98" s="130"/>
      <c r="I98" s="54">
        <f t="shared" si="27"/>
        <v>584400</v>
      </c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46">
        <f t="shared" si="28"/>
        <v>0</v>
      </c>
      <c r="U98" s="11">
        <f t="shared" si="29"/>
        <v>0</v>
      </c>
      <c r="V98" s="41">
        <f t="shared" si="30"/>
        <v>-39.396680385328565</v>
      </c>
    </row>
    <row r="99" spans="1:23" ht="15" customHeight="1" outlineLevel="1">
      <c r="A99" s="386"/>
      <c r="B99" s="125" t="s">
        <v>117</v>
      </c>
      <c r="C99" s="126">
        <f t="shared" si="25"/>
        <v>210</v>
      </c>
      <c r="D99" s="49">
        <v>562800</v>
      </c>
      <c r="E99" s="127">
        <v>200</v>
      </c>
      <c r="F99" s="50">
        <f t="shared" si="26"/>
        <v>584400</v>
      </c>
      <c r="G99" s="128">
        <v>200</v>
      </c>
      <c r="H99" s="130"/>
      <c r="I99" s="54">
        <f t="shared" si="27"/>
        <v>584400</v>
      </c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46">
        <f t="shared" si="28"/>
        <v>0</v>
      </c>
      <c r="U99" s="11">
        <f t="shared" si="29"/>
        <v>0</v>
      </c>
      <c r="V99" s="41">
        <f t="shared" si="30"/>
        <v>-4.7619047619047734</v>
      </c>
    </row>
    <row r="100" spans="1:23" s="75" customFormat="1" ht="15.75" customHeight="1" outlineLevel="1">
      <c r="A100" s="386"/>
      <c r="B100" s="131" t="s">
        <v>18</v>
      </c>
      <c r="C100" s="132">
        <f>SUM(C83:C99)</f>
        <v>15374.89552238806</v>
      </c>
      <c r="D100" s="59">
        <f>SUM(D83:D99)</f>
        <v>41204720</v>
      </c>
      <c r="E100" s="110">
        <f>SUM(E83:E99)</f>
        <v>13612</v>
      </c>
      <c r="F100" s="78">
        <f>SUM(F83:F99)</f>
        <v>39774264</v>
      </c>
      <c r="G100" s="123">
        <f>SUM(G83:G99)</f>
        <v>14494</v>
      </c>
      <c r="H100" s="61"/>
      <c r="I100" s="11">
        <f>SUM(I83:I99)</f>
        <v>42351468</v>
      </c>
      <c r="J100" s="11">
        <f>SUM(J83:J99)</f>
        <v>0</v>
      </c>
      <c r="K100" s="11">
        <f t="shared" ref="K100:T100" si="31">SUM(K83:K99)</f>
        <v>0</v>
      </c>
      <c r="L100" s="11">
        <f t="shared" si="31"/>
        <v>0</v>
      </c>
      <c r="M100" s="11">
        <f t="shared" si="31"/>
        <v>0</v>
      </c>
      <c r="N100" s="11">
        <f t="shared" si="31"/>
        <v>0</v>
      </c>
      <c r="O100" s="11">
        <f t="shared" si="31"/>
        <v>0</v>
      </c>
      <c r="P100" s="11">
        <f t="shared" si="31"/>
        <v>0</v>
      </c>
      <c r="Q100" s="11">
        <f t="shared" si="31"/>
        <v>0</v>
      </c>
      <c r="R100" s="11">
        <f t="shared" si="31"/>
        <v>0</v>
      </c>
      <c r="S100" s="11">
        <f t="shared" si="31"/>
        <v>0</v>
      </c>
      <c r="T100" s="11">
        <f t="shared" si="31"/>
        <v>0</v>
      </c>
      <c r="U100" s="11">
        <f>SUM(U83:U99)</f>
        <v>0</v>
      </c>
      <c r="V100" s="41">
        <f t="shared" si="30"/>
        <v>-5.7294407048512994</v>
      </c>
      <c r="W100" s="41">
        <f>(I100/D100)*100 -100</f>
        <v>2.7830500971733159</v>
      </c>
    </row>
    <row r="101" spans="1:23" ht="39" customHeight="1">
      <c r="A101" s="386" t="s">
        <v>45</v>
      </c>
      <c r="B101" s="387" t="s">
        <v>118</v>
      </c>
      <c r="C101" s="387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  <c r="Q101" s="388"/>
      <c r="R101" s="388"/>
      <c r="S101" s="388"/>
      <c r="T101" s="388"/>
      <c r="U101" s="388"/>
      <c r="V101" s="41">
        <f>(F114/D114)*100 -100</f>
        <v>8.6763639228116176</v>
      </c>
    </row>
    <row r="102" spans="1:23" ht="15" customHeight="1" outlineLevel="1">
      <c r="A102" s="386"/>
      <c r="B102" s="95" t="s">
        <v>119</v>
      </c>
      <c r="C102" s="96">
        <v>5987</v>
      </c>
      <c r="D102" s="49">
        <v>15325184</v>
      </c>
      <c r="E102" s="91">
        <v>3200</v>
      </c>
      <c r="F102" s="133">
        <f t="shared" ref="F102:F108" si="32">E102*$V$6</f>
        <v>9350400</v>
      </c>
      <c r="G102" s="72">
        <v>4608</v>
      </c>
      <c r="H102" s="46" t="s">
        <v>77</v>
      </c>
      <c r="I102" s="134">
        <v>13464576</v>
      </c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46">
        <f t="shared" ref="T102:T113" si="33">SUM(J102,L102,N102,P102,R102)</f>
        <v>0</v>
      </c>
      <c r="U102" s="11">
        <f t="shared" ref="U102:U113" si="34">SUM(K102,M102,O102,Q102,S102)</f>
        <v>0</v>
      </c>
      <c r="V102" s="41">
        <f>((E102+E103)/C102)*100 -100</f>
        <v>3.4240855186236701</v>
      </c>
      <c r="W102" s="135" t="s">
        <v>120</v>
      </c>
    </row>
    <row r="103" spans="1:23" ht="15" customHeight="1" outlineLevel="1">
      <c r="A103" s="386"/>
      <c r="B103" s="95" t="s">
        <v>121</v>
      </c>
      <c r="C103" s="96"/>
      <c r="D103" s="49"/>
      <c r="E103" s="91">
        <v>2992</v>
      </c>
      <c r="F103" s="133">
        <f t="shared" si="32"/>
        <v>8742624</v>
      </c>
      <c r="G103" s="72"/>
      <c r="H103" s="46"/>
      <c r="I103" s="13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46">
        <f t="shared" si="33"/>
        <v>0</v>
      </c>
      <c r="U103" s="11">
        <f t="shared" si="34"/>
        <v>0</v>
      </c>
      <c r="V103" s="41"/>
      <c r="W103" s="135"/>
    </row>
    <row r="104" spans="1:23" ht="15" customHeight="1" outlineLevel="1">
      <c r="A104" s="386"/>
      <c r="B104" s="95" t="s">
        <v>21</v>
      </c>
      <c r="C104" s="136"/>
      <c r="D104" s="49"/>
      <c r="E104" s="91"/>
      <c r="F104" s="50"/>
      <c r="G104" s="51"/>
      <c r="H104" s="54" t="s">
        <v>72</v>
      </c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46">
        <f t="shared" si="33"/>
        <v>0</v>
      </c>
      <c r="U104" s="11">
        <f t="shared" si="34"/>
        <v>0</v>
      </c>
      <c r="V104" s="41"/>
    </row>
    <row r="105" spans="1:23" ht="15" customHeight="1" outlineLevel="1">
      <c r="A105" s="386"/>
      <c r="B105" s="95" t="s">
        <v>22</v>
      </c>
      <c r="C105" s="136"/>
      <c r="D105" s="49"/>
      <c r="E105" s="91"/>
      <c r="F105" s="50"/>
      <c r="G105" s="51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46">
        <f t="shared" si="33"/>
        <v>0</v>
      </c>
      <c r="U105" s="11">
        <f t="shared" si="34"/>
        <v>0</v>
      </c>
      <c r="V105" s="41"/>
    </row>
    <row r="106" spans="1:23" ht="15" customHeight="1" outlineLevel="1">
      <c r="A106" s="386"/>
      <c r="B106" s="95" t="s">
        <v>23</v>
      </c>
      <c r="C106" s="136"/>
      <c r="D106" s="49"/>
      <c r="E106" s="91"/>
      <c r="F106" s="50"/>
      <c r="G106" s="51"/>
      <c r="H106" s="54" t="s">
        <v>72</v>
      </c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46">
        <f t="shared" si="33"/>
        <v>0</v>
      </c>
      <c r="U106" s="11">
        <f t="shared" si="34"/>
        <v>0</v>
      </c>
      <c r="V106" s="41"/>
    </row>
    <row r="107" spans="1:23" ht="15" customHeight="1" outlineLevel="1">
      <c r="A107" s="386"/>
      <c r="B107" s="95" t="s">
        <v>105</v>
      </c>
      <c r="C107" s="136"/>
      <c r="D107" s="49"/>
      <c r="E107" s="91"/>
      <c r="F107" s="50"/>
      <c r="G107" s="51"/>
      <c r="H107" s="54" t="s">
        <v>72</v>
      </c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46">
        <f t="shared" si="33"/>
        <v>0</v>
      </c>
      <c r="U107" s="11">
        <f t="shared" si="34"/>
        <v>0</v>
      </c>
      <c r="V107" s="41"/>
    </row>
    <row r="108" spans="1:23" ht="15" customHeight="1" outlineLevel="1">
      <c r="A108" s="386"/>
      <c r="B108" s="95" t="s">
        <v>106</v>
      </c>
      <c r="C108" s="96">
        <v>11662</v>
      </c>
      <c r="D108" s="49">
        <v>29156952</v>
      </c>
      <c r="E108" s="91">
        <v>10352</v>
      </c>
      <c r="F108" s="137">
        <f t="shared" si="32"/>
        <v>30248544</v>
      </c>
      <c r="G108" s="72">
        <v>10352</v>
      </c>
      <c r="H108" s="46" t="s">
        <v>77</v>
      </c>
      <c r="I108" s="138">
        <f>G108*$V$6</f>
        <v>30248544</v>
      </c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46">
        <f t="shared" si="33"/>
        <v>0</v>
      </c>
      <c r="U108" s="11">
        <f t="shared" si="34"/>
        <v>0</v>
      </c>
      <c r="V108" s="41">
        <f>(G108/C108)*100 -100</f>
        <v>-11.233064654433207</v>
      </c>
    </row>
    <row r="109" spans="1:23" ht="15" customHeight="1" outlineLevel="1">
      <c r="A109" s="386"/>
      <c r="B109" s="95" t="s">
        <v>25</v>
      </c>
      <c r="C109" s="136"/>
      <c r="D109" s="49"/>
      <c r="E109" s="91"/>
      <c r="F109" s="50"/>
      <c r="G109" s="51"/>
      <c r="H109" s="54" t="s">
        <v>72</v>
      </c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46">
        <f t="shared" si="33"/>
        <v>0</v>
      </c>
      <c r="U109" s="11">
        <f t="shared" si="34"/>
        <v>0</v>
      </c>
      <c r="V109" s="41"/>
    </row>
    <row r="110" spans="1:23" ht="15" customHeight="1" outlineLevel="1">
      <c r="A110" s="386"/>
      <c r="B110" s="95" t="s">
        <v>26</v>
      </c>
      <c r="C110" s="136"/>
      <c r="D110" s="49"/>
      <c r="E110" s="91"/>
      <c r="F110" s="50"/>
      <c r="G110" s="51"/>
      <c r="H110" s="54" t="s">
        <v>72</v>
      </c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46">
        <f t="shared" si="33"/>
        <v>0</v>
      </c>
      <c r="U110" s="11">
        <f t="shared" si="34"/>
        <v>0</v>
      </c>
      <c r="V110" s="41"/>
    </row>
    <row r="111" spans="1:23" ht="15" customHeight="1" outlineLevel="1">
      <c r="A111" s="386"/>
      <c r="B111" s="95" t="s">
        <v>27</v>
      </c>
      <c r="C111" s="136"/>
      <c r="D111" s="49"/>
      <c r="E111" s="91"/>
      <c r="F111" s="50"/>
      <c r="G111" s="51"/>
      <c r="H111" s="54" t="s">
        <v>72</v>
      </c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46">
        <f t="shared" si="33"/>
        <v>0</v>
      </c>
      <c r="U111" s="11">
        <f t="shared" si="34"/>
        <v>0</v>
      </c>
      <c r="V111" s="41"/>
    </row>
    <row r="112" spans="1:23" ht="15" customHeight="1" outlineLevel="1">
      <c r="A112" s="386"/>
      <c r="B112" s="95" t="s">
        <v>28</v>
      </c>
      <c r="C112" s="136"/>
      <c r="D112" s="49"/>
      <c r="E112" s="91"/>
      <c r="F112" s="50"/>
      <c r="G112" s="51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46">
        <f t="shared" si="33"/>
        <v>0</v>
      </c>
      <c r="U112" s="11">
        <f t="shared" si="34"/>
        <v>0</v>
      </c>
      <c r="V112" s="41"/>
    </row>
    <row r="113" spans="1:23" ht="15" customHeight="1" outlineLevel="1">
      <c r="A113" s="386"/>
      <c r="B113" s="95" t="s">
        <v>29</v>
      </c>
      <c r="C113" s="136"/>
      <c r="D113" s="49"/>
      <c r="E113" s="91"/>
      <c r="F113" s="50"/>
      <c r="G113" s="51"/>
      <c r="H113" s="54" t="s">
        <v>72</v>
      </c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46">
        <f t="shared" si="33"/>
        <v>0</v>
      </c>
      <c r="U113" s="11">
        <f t="shared" si="34"/>
        <v>0</v>
      </c>
      <c r="V113" s="41"/>
    </row>
    <row r="114" spans="1:23" s="75" customFormat="1" ht="15" customHeight="1" outlineLevel="1">
      <c r="A114" s="386"/>
      <c r="B114" s="20" t="s">
        <v>18</v>
      </c>
      <c r="C114" s="76">
        <f>SUM(C102:C113)</f>
        <v>17649</v>
      </c>
      <c r="D114" s="59">
        <f>SUM(D102:D113)</f>
        <v>44482136</v>
      </c>
      <c r="E114" s="110">
        <f>SUM(E102:E113)</f>
        <v>16544</v>
      </c>
      <c r="F114" s="78">
        <f>SUM(F102:F113)</f>
        <v>48341568</v>
      </c>
      <c r="G114" s="123">
        <f t="shared" ref="G114:T114" si="35">SUM(G102:G113)</f>
        <v>14960</v>
      </c>
      <c r="H114" s="124"/>
      <c r="I114" s="11">
        <f>SUM(I102:I113)</f>
        <v>43713120</v>
      </c>
      <c r="J114" s="11">
        <f t="shared" si="35"/>
        <v>0</v>
      </c>
      <c r="K114" s="11">
        <f t="shared" si="35"/>
        <v>0</v>
      </c>
      <c r="L114" s="11">
        <f t="shared" si="35"/>
        <v>0</v>
      </c>
      <c r="M114" s="11">
        <f t="shared" si="35"/>
        <v>0</v>
      </c>
      <c r="N114" s="11">
        <f t="shared" si="35"/>
        <v>0</v>
      </c>
      <c r="O114" s="11">
        <f t="shared" si="35"/>
        <v>0</v>
      </c>
      <c r="P114" s="11">
        <f t="shared" si="35"/>
        <v>0</v>
      </c>
      <c r="Q114" s="11">
        <f t="shared" si="35"/>
        <v>0</v>
      </c>
      <c r="R114" s="11">
        <f t="shared" si="35"/>
        <v>0</v>
      </c>
      <c r="S114" s="11">
        <f t="shared" si="35"/>
        <v>0</v>
      </c>
      <c r="T114" s="11">
        <f t="shared" si="35"/>
        <v>0</v>
      </c>
      <c r="U114" s="11">
        <f>SUM(U102:U113)</f>
        <v>0</v>
      </c>
      <c r="V114" s="41">
        <f>(E114/C114)*100 -100</f>
        <v>-6.2609779590911643</v>
      </c>
      <c r="W114" s="41">
        <f>(I114/F114)*100 -100</f>
        <v>-9.5744680851063748</v>
      </c>
    </row>
    <row r="115" spans="1:23" ht="38.25" customHeight="1">
      <c r="A115" s="389" t="s">
        <v>122</v>
      </c>
      <c r="B115" s="390" t="s">
        <v>123</v>
      </c>
      <c r="C115" s="391"/>
      <c r="D115" s="391"/>
      <c r="E115" s="391"/>
      <c r="F115" s="391"/>
      <c r="G115" s="391"/>
      <c r="H115" s="391"/>
      <c r="I115" s="391"/>
      <c r="J115" s="391"/>
      <c r="K115" s="391"/>
      <c r="L115" s="391"/>
      <c r="M115" s="391"/>
      <c r="N115" s="391"/>
      <c r="O115" s="391"/>
      <c r="P115" s="391"/>
      <c r="Q115" s="391"/>
      <c r="R115" s="391"/>
      <c r="S115" s="391"/>
      <c r="T115" s="391"/>
      <c r="U115" s="392"/>
      <c r="V115" s="41"/>
    </row>
    <row r="116" spans="1:23" ht="15" customHeight="1" outlineLevel="1">
      <c r="A116" s="389"/>
      <c r="B116" s="95" t="s">
        <v>16</v>
      </c>
      <c r="C116" s="136"/>
      <c r="D116" s="139"/>
      <c r="E116" s="140"/>
      <c r="F116" s="140"/>
      <c r="G116" s="141"/>
      <c r="H116" s="142" t="s">
        <v>124</v>
      </c>
      <c r="I116" s="143"/>
      <c r="J116" s="144">
        <v>2500</v>
      </c>
      <c r="K116" s="145">
        <f>J116*$U$1/1000</f>
        <v>8012.5</v>
      </c>
      <c r="L116" s="144">
        <v>2500</v>
      </c>
      <c r="M116" s="145">
        <f>L116*Z1/1000</f>
        <v>8800</v>
      </c>
      <c r="N116" s="46">
        <v>2500</v>
      </c>
      <c r="O116" s="145">
        <f>N116*AC1/1000</f>
        <v>9590</v>
      </c>
      <c r="P116" s="46">
        <v>2500</v>
      </c>
      <c r="Q116" s="145">
        <f>P116*AF1/1000</f>
        <v>10405</v>
      </c>
      <c r="R116" s="46">
        <v>2500</v>
      </c>
      <c r="S116" s="145">
        <f>R116*AI1/1000</f>
        <v>11270</v>
      </c>
      <c r="T116" s="46">
        <f t="shared" ref="T116:T126" si="36">SUM(G116,J116,L116,N116,P116)</f>
        <v>10000</v>
      </c>
      <c r="U116" s="11">
        <f t="shared" ref="U116:U126" si="37">SUM(I116,K116,M116,O116,Q116)</f>
        <v>36807.5</v>
      </c>
      <c r="V116" s="41"/>
    </row>
    <row r="117" spans="1:23" ht="15" customHeight="1" outlineLevel="1">
      <c r="A117" s="389"/>
      <c r="B117" s="95" t="s">
        <v>4</v>
      </c>
      <c r="C117" s="136"/>
      <c r="D117" s="139"/>
      <c r="E117" s="140"/>
      <c r="F117" s="140"/>
      <c r="G117" s="141"/>
      <c r="H117" s="145" t="s">
        <v>72</v>
      </c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54">
        <f t="shared" si="36"/>
        <v>0</v>
      </c>
      <c r="U117" s="11">
        <f t="shared" si="37"/>
        <v>0</v>
      </c>
      <c r="V117" s="41"/>
    </row>
    <row r="118" spans="1:23" ht="15" customHeight="1" outlineLevel="1">
      <c r="A118" s="389"/>
      <c r="B118" s="95" t="s">
        <v>5</v>
      </c>
      <c r="C118" s="136"/>
      <c r="D118" s="139"/>
      <c r="E118" s="140"/>
      <c r="F118" s="140"/>
      <c r="G118" s="141"/>
      <c r="H118" s="142" t="s">
        <v>125</v>
      </c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54">
        <f t="shared" si="36"/>
        <v>0</v>
      </c>
      <c r="U118" s="11">
        <f t="shared" si="37"/>
        <v>0</v>
      </c>
      <c r="V118" s="41"/>
    </row>
    <row r="119" spans="1:23" ht="15" customHeight="1" outlineLevel="1">
      <c r="A119" s="389"/>
      <c r="B119" s="95" t="s">
        <v>7</v>
      </c>
      <c r="C119" s="136"/>
      <c r="D119" s="139"/>
      <c r="E119" s="140"/>
      <c r="F119" s="140"/>
      <c r="G119" s="141"/>
      <c r="H119" s="142" t="s">
        <v>126</v>
      </c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54">
        <f t="shared" si="36"/>
        <v>0</v>
      </c>
      <c r="U119" s="11">
        <f t="shared" si="37"/>
        <v>0</v>
      </c>
      <c r="V119" s="41"/>
    </row>
    <row r="120" spans="1:23" ht="15" customHeight="1" outlineLevel="1">
      <c r="A120" s="389"/>
      <c r="B120" s="95" t="s">
        <v>8</v>
      </c>
      <c r="C120" s="136"/>
      <c r="D120" s="139"/>
      <c r="E120" s="140"/>
      <c r="F120" s="140"/>
      <c r="G120" s="141"/>
      <c r="H120" s="145" t="s">
        <v>72</v>
      </c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54">
        <f t="shared" si="36"/>
        <v>0</v>
      </c>
      <c r="U120" s="11">
        <f t="shared" si="37"/>
        <v>0</v>
      </c>
      <c r="V120" s="41"/>
    </row>
    <row r="121" spans="1:23" ht="15" customHeight="1" outlineLevel="1">
      <c r="A121" s="389"/>
      <c r="B121" s="95" t="s">
        <v>9</v>
      </c>
      <c r="C121" s="136"/>
      <c r="D121" s="139"/>
      <c r="E121" s="140"/>
      <c r="F121" s="140"/>
      <c r="G121" s="141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54">
        <f t="shared" si="36"/>
        <v>0</v>
      </c>
      <c r="U121" s="11">
        <f t="shared" si="37"/>
        <v>0</v>
      </c>
      <c r="V121" s="41"/>
    </row>
    <row r="122" spans="1:23" ht="15" customHeight="1" outlineLevel="1">
      <c r="A122" s="389"/>
      <c r="B122" s="95" t="s">
        <v>10</v>
      </c>
      <c r="C122" s="136"/>
      <c r="D122" s="139"/>
      <c r="E122" s="140"/>
      <c r="F122" s="140"/>
      <c r="G122" s="141"/>
      <c r="H122" s="142" t="s">
        <v>127</v>
      </c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54">
        <f t="shared" si="36"/>
        <v>0</v>
      </c>
      <c r="U122" s="11">
        <f t="shared" si="37"/>
        <v>0</v>
      </c>
      <c r="V122" s="41"/>
    </row>
    <row r="123" spans="1:23" ht="15" customHeight="1" outlineLevel="1">
      <c r="A123" s="389"/>
      <c r="B123" s="95" t="s">
        <v>11</v>
      </c>
      <c r="C123" s="136"/>
      <c r="D123" s="139"/>
      <c r="E123" s="140"/>
      <c r="F123" s="140"/>
      <c r="G123" s="141"/>
      <c r="H123" s="145" t="s">
        <v>72</v>
      </c>
      <c r="I123" s="145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54">
        <f t="shared" si="36"/>
        <v>0</v>
      </c>
      <c r="U123" s="11">
        <f t="shared" si="37"/>
        <v>0</v>
      </c>
      <c r="V123" s="41"/>
    </row>
    <row r="124" spans="1:23" ht="15" customHeight="1" outlineLevel="1">
      <c r="A124" s="389"/>
      <c r="B124" s="95" t="s">
        <v>12</v>
      </c>
      <c r="C124" s="136"/>
      <c r="D124" s="139"/>
      <c r="E124" s="140"/>
      <c r="F124" s="140"/>
      <c r="G124" s="141"/>
      <c r="H124" s="143" t="s">
        <v>72</v>
      </c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54">
        <f t="shared" si="36"/>
        <v>0</v>
      </c>
      <c r="U124" s="11">
        <f t="shared" si="37"/>
        <v>0</v>
      </c>
      <c r="V124" s="41"/>
    </row>
    <row r="125" spans="1:23" ht="15" customHeight="1" outlineLevel="1">
      <c r="A125" s="389"/>
      <c r="B125" s="95" t="s">
        <v>13</v>
      </c>
      <c r="C125" s="136"/>
      <c r="D125" s="139"/>
      <c r="E125" s="140"/>
      <c r="F125" s="140"/>
      <c r="G125" s="141"/>
      <c r="H125" s="145" t="s">
        <v>72</v>
      </c>
      <c r="I125" s="145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54">
        <f t="shared" si="36"/>
        <v>0</v>
      </c>
      <c r="U125" s="11">
        <f t="shared" si="37"/>
        <v>0</v>
      </c>
      <c r="V125" s="41"/>
    </row>
    <row r="126" spans="1:23" ht="15" customHeight="1" outlineLevel="1">
      <c r="A126" s="389"/>
      <c r="B126" s="95" t="s">
        <v>14</v>
      </c>
      <c r="C126" s="136"/>
      <c r="D126" s="139"/>
      <c r="E126" s="140"/>
      <c r="F126" s="140"/>
      <c r="G126" s="141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54">
        <f t="shared" si="36"/>
        <v>0</v>
      </c>
      <c r="U126" s="11">
        <f t="shared" si="37"/>
        <v>0</v>
      </c>
      <c r="V126" s="41"/>
    </row>
    <row r="127" spans="1:23" ht="15" customHeight="1" outlineLevel="1">
      <c r="A127" s="389"/>
      <c r="B127" s="20" t="s">
        <v>18</v>
      </c>
      <c r="C127" s="146"/>
      <c r="D127" s="147">
        <f>SUM(D116:D126)</f>
        <v>0</v>
      </c>
      <c r="E127" s="148"/>
      <c r="F127" s="148"/>
      <c r="G127" s="149">
        <f t="shared" ref="G127:U127" si="38">SUM(G116:G126)</f>
        <v>0</v>
      </c>
      <c r="H127" s="150"/>
      <c r="I127" s="8">
        <f t="shared" si="38"/>
        <v>0</v>
      </c>
      <c r="J127" s="8">
        <f t="shared" si="38"/>
        <v>2500</v>
      </c>
      <c r="K127" s="8">
        <f t="shared" si="38"/>
        <v>8012.5</v>
      </c>
      <c r="L127" s="8">
        <f t="shared" si="38"/>
        <v>2500</v>
      </c>
      <c r="M127" s="8">
        <f t="shared" si="38"/>
        <v>8800</v>
      </c>
      <c r="N127" s="8">
        <f t="shared" si="38"/>
        <v>2500</v>
      </c>
      <c r="O127" s="8">
        <f t="shared" si="38"/>
        <v>9590</v>
      </c>
      <c r="P127" s="8">
        <f t="shared" si="38"/>
        <v>2500</v>
      </c>
      <c r="Q127" s="8">
        <f t="shared" si="38"/>
        <v>10405</v>
      </c>
      <c r="R127" s="8">
        <f t="shared" ref="R127:S127" si="39">SUM(R116:R126)</f>
        <v>2500</v>
      </c>
      <c r="S127" s="8">
        <f t="shared" si="39"/>
        <v>11270</v>
      </c>
      <c r="T127" s="8">
        <f t="shared" si="38"/>
        <v>10000</v>
      </c>
      <c r="U127" s="8">
        <f t="shared" si="38"/>
        <v>36807.5</v>
      </c>
      <c r="V127" s="41"/>
    </row>
    <row r="128" spans="1:23" ht="44.1" customHeight="1">
      <c r="A128" s="386" t="s">
        <v>20</v>
      </c>
      <c r="B128" s="374" t="s">
        <v>128</v>
      </c>
      <c r="C128" s="375"/>
      <c r="D128" s="375"/>
      <c r="E128" s="375"/>
      <c r="F128" s="375"/>
      <c r="G128" s="375"/>
      <c r="H128" s="375"/>
      <c r="I128" s="375"/>
      <c r="J128" s="375"/>
      <c r="K128" s="375"/>
      <c r="L128" s="375"/>
      <c r="M128" s="375"/>
      <c r="N128" s="375"/>
      <c r="O128" s="375"/>
      <c r="P128" s="375"/>
      <c r="Q128" s="375"/>
      <c r="R128" s="375"/>
      <c r="S128" s="375"/>
      <c r="T128" s="375"/>
      <c r="U128" s="376"/>
      <c r="V128" s="41"/>
    </row>
    <row r="129" spans="1:23" ht="15" customHeight="1" outlineLevel="1">
      <c r="A129" s="386"/>
      <c r="B129" s="95" t="s">
        <v>21</v>
      </c>
      <c r="C129" s="136"/>
      <c r="D129" s="49"/>
      <c r="E129" s="50"/>
      <c r="F129" s="50"/>
      <c r="G129" s="51"/>
      <c r="H129" s="145" t="s">
        <v>72</v>
      </c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46">
        <f t="shared" ref="T129:T138" si="40">SUM(J129,L129,N129,P129,R129)</f>
        <v>0</v>
      </c>
      <c r="U129" s="11">
        <f t="shared" ref="U129:U138" si="41">SUM(K129,M129,O129,Q129,S129)</f>
        <v>0</v>
      </c>
      <c r="V129" s="41"/>
      <c r="W129" s="373" t="s">
        <v>129</v>
      </c>
    </row>
    <row r="130" spans="1:23" ht="15" customHeight="1" outlineLevel="1">
      <c r="A130" s="386"/>
      <c r="B130" s="95" t="s">
        <v>22</v>
      </c>
      <c r="C130" s="136"/>
      <c r="D130" s="49"/>
      <c r="E130" s="50"/>
      <c r="F130" s="50"/>
      <c r="G130" s="51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46">
        <f t="shared" si="40"/>
        <v>0</v>
      </c>
      <c r="U130" s="11">
        <f t="shared" si="41"/>
        <v>0</v>
      </c>
      <c r="V130" s="41"/>
      <c r="W130" s="373"/>
    </row>
    <row r="131" spans="1:23" ht="15" customHeight="1" outlineLevel="1">
      <c r="A131" s="386"/>
      <c r="B131" s="95" t="s">
        <v>23</v>
      </c>
      <c r="C131" s="136"/>
      <c r="D131" s="49"/>
      <c r="E131" s="50"/>
      <c r="F131" s="50"/>
      <c r="G131" s="51"/>
      <c r="H131" s="145" t="s">
        <v>72</v>
      </c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46">
        <f t="shared" si="40"/>
        <v>0</v>
      </c>
      <c r="U131" s="11">
        <f t="shared" si="41"/>
        <v>0</v>
      </c>
      <c r="V131" s="41"/>
      <c r="W131" s="373"/>
    </row>
    <row r="132" spans="1:23" ht="15" customHeight="1" outlineLevel="1">
      <c r="A132" s="386"/>
      <c r="B132" s="95" t="s">
        <v>105</v>
      </c>
      <c r="C132" s="136"/>
      <c r="D132" s="49"/>
      <c r="E132" s="50"/>
      <c r="F132" s="50"/>
      <c r="G132" s="51"/>
      <c r="H132" s="151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46">
        <f t="shared" si="40"/>
        <v>0</v>
      </c>
      <c r="U132" s="11">
        <f t="shared" si="41"/>
        <v>0</v>
      </c>
      <c r="V132" s="41"/>
      <c r="W132" s="373"/>
    </row>
    <row r="133" spans="1:23" ht="15" customHeight="1" outlineLevel="1">
      <c r="A133" s="386"/>
      <c r="B133" s="152" t="s">
        <v>106</v>
      </c>
      <c r="C133" s="153"/>
      <c r="D133" s="154"/>
      <c r="E133" s="155"/>
      <c r="F133" s="155"/>
      <c r="G133" s="156">
        <v>19206</v>
      </c>
      <c r="H133" s="25" t="s">
        <v>75</v>
      </c>
      <c r="I133" s="55">
        <f>G133*$V$6</f>
        <v>56119932</v>
      </c>
      <c r="J133" s="26">
        <v>19206</v>
      </c>
      <c r="K133" s="54">
        <v>61555.23</v>
      </c>
      <c r="L133" s="26">
        <v>19206</v>
      </c>
      <c r="M133" s="54">
        <v>67605.119999999995</v>
      </c>
      <c r="N133" s="26">
        <v>19206</v>
      </c>
      <c r="O133" s="54">
        <v>73674.216</v>
      </c>
      <c r="P133" s="26">
        <v>19206</v>
      </c>
      <c r="Q133" s="54">
        <v>79935.372000000003</v>
      </c>
      <c r="R133" s="26">
        <v>19206</v>
      </c>
      <c r="S133" s="54">
        <v>86580.648000000001</v>
      </c>
      <c r="T133" s="46">
        <f t="shared" si="40"/>
        <v>96030</v>
      </c>
      <c r="U133" s="11">
        <f t="shared" si="41"/>
        <v>369350.58599999995</v>
      </c>
      <c r="V133" s="41"/>
      <c r="W133" s="373"/>
    </row>
    <row r="134" spans="1:23" ht="15" customHeight="1" outlineLevel="1">
      <c r="A134" s="386"/>
      <c r="B134" s="95" t="s">
        <v>25</v>
      </c>
      <c r="C134" s="136"/>
      <c r="D134" s="49"/>
      <c r="E134" s="50"/>
      <c r="F134" s="50"/>
      <c r="G134" s="51"/>
      <c r="H134" s="157" t="s">
        <v>72</v>
      </c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46">
        <f t="shared" si="40"/>
        <v>0</v>
      </c>
      <c r="U134" s="11">
        <f t="shared" si="41"/>
        <v>0</v>
      </c>
      <c r="V134" s="41"/>
      <c r="W134" s="373"/>
    </row>
    <row r="135" spans="1:23" ht="15" customHeight="1" outlineLevel="1">
      <c r="A135" s="386"/>
      <c r="B135" s="95" t="s">
        <v>26</v>
      </c>
      <c r="C135" s="136"/>
      <c r="D135" s="49"/>
      <c r="E135" s="50"/>
      <c r="F135" s="50"/>
      <c r="G135" s="51"/>
      <c r="H135" s="145" t="s">
        <v>72</v>
      </c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46">
        <f t="shared" si="40"/>
        <v>0</v>
      </c>
      <c r="U135" s="11">
        <f t="shared" si="41"/>
        <v>0</v>
      </c>
      <c r="V135" s="41"/>
      <c r="W135" s="373"/>
    </row>
    <row r="136" spans="1:23" ht="15" customHeight="1" outlineLevel="1">
      <c r="A136" s="386"/>
      <c r="B136" s="95" t="s">
        <v>27</v>
      </c>
      <c r="C136" s="136"/>
      <c r="D136" s="49"/>
      <c r="E136" s="50"/>
      <c r="F136" s="50"/>
      <c r="G136" s="51"/>
      <c r="H136" s="145" t="s">
        <v>72</v>
      </c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46">
        <f t="shared" si="40"/>
        <v>0</v>
      </c>
      <c r="U136" s="11">
        <f t="shared" si="41"/>
        <v>0</v>
      </c>
      <c r="V136" s="41"/>
      <c r="W136" s="373"/>
    </row>
    <row r="137" spans="1:23" ht="15" customHeight="1" outlineLevel="1">
      <c r="A137" s="386"/>
      <c r="B137" s="95" t="s">
        <v>28</v>
      </c>
      <c r="C137" s="136"/>
      <c r="D137" s="49"/>
      <c r="E137" s="50"/>
      <c r="F137" s="50"/>
      <c r="G137" s="51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46">
        <f t="shared" si="40"/>
        <v>0</v>
      </c>
      <c r="U137" s="11">
        <f t="shared" si="41"/>
        <v>0</v>
      </c>
      <c r="V137" s="41"/>
      <c r="W137" s="373"/>
    </row>
    <row r="138" spans="1:23" ht="15" customHeight="1" outlineLevel="1">
      <c r="A138" s="386"/>
      <c r="B138" s="95" t="s">
        <v>29</v>
      </c>
      <c r="C138" s="136"/>
      <c r="D138" s="49"/>
      <c r="E138" s="50"/>
      <c r="F138" s="50"/>
      <c r="G138" s="51"/>
      <c r="H138" s="145" t="s">
        <v>72</v>
      </c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46">
        <f t="shared" si="40"/>
        <v>0</v>
      </c>
      <c r="U138" s="11">
        <f t="shared" si="41"/>
        <v>0</v>
      </c>
      <c r="V138" s="41"/>
      <c r="W138" s="373"/>
    </row>
    <row r="139" spans="1:23" ht="15" customHeight="1" outlineLevel="1">
      <c r="A139" s="386"/>
      <c r="B139" s="20" t="s">
        <v>18</v>
      </c>
      <c r="C139" s="146"/>
      <c r="D139" s="59">
        <f>SUM(D129:D138)</f>
        <v>0</v>
      </c>
      <c r="E139" s="110">
        <f>G139</f>
        <v>19206</v>
      </c>
      <c r="F139" s="78">
        <f>I139</f>
        <v>56119932</v>
      </c>
      <c r="G139" s="123">
        <f>SUM(G129:G138)</f>
        <v>19206</v>
      </c>
      <c r="H139" s="124"/>
      <c r="I139" s="11">
        <f>SUM(I129:I138)</f>
        <v>56119932</v>
      </c>
      <c r="J139" s="158">
        <f>SUM(J129:J138)</f>
        <v>19206</v>
      </c>
      <c r="K139" s="158">
        <f t="shared" ref="K139:T151" si="42">SUM(K129:K138)</f>
        <v>61555.23</v>
      </c>
      <c r="L139" s="158">
        <f t="shared" si="42"/>
        <v>19206</v>
      </c>
      <c r="M139" s="158">
        <f t="shared" si="42"/>
        <v>67605.119999999995</v>
      </c>
      <c r="N139" s="158">
        <f t="shared" si="42"/>
        <v>19206</v>
      </c>
      <c r="O139" s="158">
        <f t="shared" si="42"/>
        <v>73674.216</v>
      </c>
      <c r="P139" s="158">
        <f t="shared" si="42"/>
        <v>19206</v>
      </c>
      <c r="Q139" s="158">
        <f t="shared" si="42"/>
        <v>79935.372000000003</v>
      </c>
      <c r="R139" s="158">
        <f t="shared" si="42"/>
        <v>19206</v>
      </c>
      <c r="S139" s="158">
        <f t="shared" si="42"/>
        <v>86580.648000000001</v>
      </c>
      <c r="T139" s="158">
        <f t="shared" si="42"/>
        <v>96030</v>
      </c>
      <c r="U139" s="11">
        <f>SUM(U129:U138)</f>
        <v>369350.58599999995</v>
      </c>
      <c r="V139" s="41"/>
      <c r="W139" s="373"/>
    </row>
    <row r="140" spans="1:23" ht="36" customHeight="1">
      <c r="A140" s="386" t="s">
        <v>35</v>
      </c>
      <c r="B140" s="374" t="s">
        <v>130</v>
      </c>
      <c r="C140" s="375"/>
      <c r="D140" s="375"/>
      <c r="E140" s="375"/>
      <c r="F140" s="375"/>
      <c r="G140" s="375"/>
      <c r="H140" s="375"/>
      <c r="I140" s="375"/>
      <c r="J140" s="375"/>
      <c r="K140" s="375"/>
      <c r="L140" s="375"/>
      <c r="M140" s="375"/>
      <c r="N140" s="375"/>
      <c r="O140" s="375"/>
      <c r="P140" s="375"/>
      <c r="Q140" s="375"/>
      <c r="R140" s="375"/>
      <c r="S140" s="375"/>
      <c r="T140" s="375"/>
      <c r="U140" s="376"/>
      <c r="V140" s="41"/>
    </row>
    <row r="141" spans="1:23" ht="15" customHeight="1" outlineLevel="1">
      <c r="A141" s="386"/>
      <c r="B141" s="95" t="s">
        <v>21</v>
      </c>
      <c r="C141" s="136"/>
      <c r="D141" s="49"/>
      <c r="E141" s="50"/>
      <c r="F141" s="50"/>
      <c r="G141" s="51"/>
      <c r="H141" s="145" t="s">
        <v>72</v>
      </c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46">
        <f t="shared" ref="T141:T150" si="43">SUM(J141,L141,N141,P141,R141)</f>
        <v>0</v>
      </c>
      <c r="U141" s="11">
        <f t="shared" ref="U141:U150" si="44">SUM(K141,M141,O141,Q141,S141)</f>
        <v>0</v>
      </c>
      <c r="V141" s="41"/>
    </row>
    <row r="142" spans="1:23" ht="15" customHeight="1" outlineLevel="1">
      <c r="A142" s="386"/>
      <c r="B142" s="95" t="s">
        <v>22</v>
      </c>
      <c r="C142" s="136"/>
      <c r="D142" s="49"/>
      <c r="E142" s="50"/>
      <c r="F142" s="50"/>
      <c r="G142" s="51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46">
        <f t="shared" si="43"/>
        <v>0</v>
      </c>
      <c r="U142" s="11">
        <f t="shared" si="44"/>
        <v>0</v>
      </c>
      <c r="V142" s="41"/>
    </row>
    <row r="143" spans="1:23" ht="15" customHeight="1" outlineLevel="1">
      <c r="A143" s="386"/>
      <c r="B143" s="95" t="s">
        <v>23</v>
      </c>
      <c r="C143" s="136"/>
      <c r="D143" s="49"/>
      <c r="E143" s="50"/>
      <c r="F143" s="50"/>
      <c r="G143" s="51"/>
      <c r="H143" s="145" t="s">
        <v>72</v>
      </c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46">
        <f t="shared" si="43"/>
        <v>0</v>
      </c>
      <c r="U143" s="11">
        <f t="shared" si="44"/>
        <v>0</v>
      </c>
      <c r="V143" s="41"/>
      <c r="W143" s="373" t="s">
        <v>131</v>
      </c>
    </row>
    <row r="144" spans="1:23" ht="15" customHeight="1" outlineLevel="1">
      <c r="A144" s="386"/>
      <c r="B144" s="152" t="s">
        <v>105</v>
      </c>
      <c r="C144" s="153"/>
      <c r="D144" s="154"/>
      <c r="E144" s="155"/>
      <c r="F144" s="155"/>
      <c r="G144" s="72">
        <v>8872</v>
      </c>
      <c r="H144" s="138" t="s">
        <v>132</v>
      </c>
      <c r="I144" s="54">
        <f>G144*$V$6</f>
        <v>25923984</v>
      </c>
      <c r="J144" s="26">
        <v>8872</v>
      </c>
      <c r="K144" s="54">
        <v>28434.76</v>
      </c>
      <c r="L144" s="26">
        <v>8872</v>
      </c>
      <c r="M144" s="54">
        <v>31229.439999999999</v>
      </c>
      <c r="N144" s="26">
        <v>8872</v>
      </c>
      <c r="O144" s="54">
        <v>34032.991999999998</v>
      </c>
      <c r="P144" s="26">
        <v>8872</v>
      </c>
      <c r="Q144" s="54">
        <v>36925.264000000003</v>
      </c>
      <c r="R144" s="26">
        <v>8872</v>
      </c>
      <c r="S144" s="54">
        <v>39994.976000000002</v>
      </c>
      <c r="T144" s="46">
        <f t="shared" si="43"/>
        <v>44360</v>
      </c>
      <c r="U144" s="11">
        <f t="shared" si="44"/>
        <v>170617.432</v>
      </c>
      <c r="V144" s="41"/>
      <c r="W144" s="373"/>
    </row>
    <row r="145" spans="1:23" ht="15" customHeight="1" outlineLevel="1">
      <c r="A145" s="386"/>
      <c r="B145" s="95" t="s">
        <v>106</v>
      </c>
      <c r="C145" s="136"/>
      <c r="D145" s="49"/>
      <c r="E145" s="50"/>
      <c r="F145" s="50"/>
      <c r="G145" s="51"/>
      <c r="H145" s="145" t="s">
        <v>72</v>
      </c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46">
        <f t="shared" si="43"/>
        <v>0</v>
      </c>
      <c r="U145" s="11">
        <f t="shared" si="44"/>
        <v>0</v>
      </c>
      <c r="V145" s="41"/>
      <c r="W145" s="373"/>
    </row>
    <row r="146" spans="1:23" ht="15" customHeight="1" outlineLevel="1">
      <c r="A146" s="386"/>
      <c r="B146" s="95" t="s">
        <v>25</v>
      </c>
      <c r="C146" s="136"/>
      <c r="D146" s="49"/>
      <c r="E146" s="50"/>
      <c r="F146" s="50"/>
      <c r="G146" s="51"/>
      <c r="H146" s="145" t="s">
        <v>72</v>
      </c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46">
        <f t="shared" si="43"/>
        <v>0</v>
      </c>
      <c r="U146" s="11">
        <f t="shared" si="44"/>
        <v>0</v>
      </c>
      <c r="V146" s="41"/>
      <c r="W146" s="373"/>
    </row>
    <row r="147" spans="1:23" ht="15" customHeight="1" outlineLevel="1">
      <c r="A147" s="386"/>
      <c r="B147" s="95" t="s">
        <v>26</v>
      </c>
      <c r="C147" s="136"/>
      <c r="D147" s="49"/>
      <c r="E147" s="50"/>
      <c r="F147" s="50"/>
      <c r="G147" s="51"/>
      <c r="H147" s="145" t="s">
        <v>72</v>
      </c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46">
        <f t="shared" si="43"/>
        <v>0</v>
      </c>
      <c r="U147" s="11">
        <f t="shared" si="44"/>
        <v>0</v>
      </c>
      <c r="V147" s="41"/>
      <c r="W147" s="373"/>
    </row>
    <row r="148" spans="1:23" ht="15" customHeight="1" outlineLevel="1">
      <c r="A148" s="386"/>
      <c r="B148" s="95" t="s">
        <v>27</v>
      </c>
      <c r="C148" s="136"/>
      <c r="D148" s="49"/>
      <c r="E148" s="50"/>
      <c r="F148" s="50"/>
      <c r="G148" s="51"/>
      <c r="H148" s="145" t="s">
        <v>72</v>
      </c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46">
        <f t="shared" si="43"/>
        <v>0</v>
      </c>
      <c r="U148" s="11">
        <f t="shared" si="44"/>
        <v>0</v>
      </c>
      <c r="V148" s="41"/>
      <c r="W148" s="373"/>
    </row>
    <row r="149" spans="1:23" ht="15" customHeight="1" outlineLevel="1">
      <c r="A149" s="386"/>
      <c r="B149" s="95" t="s">
        <v>28</v>
      </c>
      <c r="C149" s="136"/>
      <c r="D149" s="49"/>
      <c r="E149" s="50"/>
      <c r="F149" s="50"/>
      <c r="G149" s="51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46">
        <f t="shared" si="43"/>
        <v>0</v>
      </c>
      <c r="U149" s="11">
        <f t="shared" si="44"/>
        <v>0</v>
      </c>
      <c r="V149" s="41"/>
      <c r="W149" s="373"/>
    </row>
    <row r="150" spans="1:23" ht="15" customHeight="1" outlineLevel="1">
      <c r="A150" s="386"/>
      <c r="B150" s="95" t="s">
        <v>29</v>
      </c>
      <c r="C150" s="136"/>
      <c r="D150" s="49"/>
      <c r="E150" s="50"/>
      <c r="F150" s="50"/>
      <c r="G150" s="51"/>
      <c r="H150" s="145" t="s">
        <v>72</v>
      </c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46">
        <f t="shared" si="43"/>
        <v>0</v>
      </c>
      <c r="U150" s="11">
        <f t="shared" si="44"/>
        <v>0</v>
      </c>
      <c r="V150" s="41"/>
      <c r="W150" s="373"/>
    </row>
    <row r="151" spans="1:23" ht="15" customHeight="1" outlineLevel="1">
      <c r="A151" s="386"/>
      <c r="B151" s="20" t="s">
        <v>18</v>
      </c>
      <c r="C151" s="146"/>
      <c r="D151" s="59">
        <f>SUM(D141:D150)</f>
        <v>0</v>
      </c>
      <c r="E151" s="110">
        <f>G151</f>
        <v>8872</v>
      </c>
      <c r="F151" s="78">
        <f>I151</f>
        <v>25923984</v>
      </c>
      <c r="G151" s="123">
        <f>SUM(G141:G150)</f>
        <v>8872</v>
      </c>
      <c r="H151" s="124"/>
      <c r="I151" s="11">
        <f>SUM(I141:I150)</f>
        <v>25923984</v>
      </c>
      <c r="J151" s="11">
        <f>SUM(J141:J150)</f>
        <v>8872</v>
      </c>
      <c r="K151" s="11">
        <f t="shared" si="42"/>
        <v>28434.76</v>
      </c>
      <c r="L151" s="11">
        <f t="shared" si="42"/>
        <v>8872</v>
      </c>
      <c r="M151" s="11">
        <f t="shared" si="42"/>
        <v>31229.439999999999</v>
      </c>
      <c r="N151" s="11">
        <f t="shared" si="42"/>
        <v>8872</v>
      </c>
      <c r="O151" s="11">
        <f t="shared" si="42"/>
        <v>34032.991999999998</v>
      </c>
      <c r="P151" s="11">
        <f t="shared" si="42"/>
        <v>8872</v>
      </c>
      <c r="Q151" s="11">
        <f t="shared" si="42"/>
        <v>36925.264000000003</v>
      </c>
      <c r="R151" s="11">
        <f t="shared" si="42"/>
        <v>8872</v>
      </c>
      <c r="S151" s="11">
        <f t="shared" si="42"/>
        <v>39994.976000000002</v>
      </c>
      <c r="T151" s="11">
        <f t="shared" si="42"/>
        <v>44360</v>
      </c>
      <c r="U151" s="11">
        <f>SUM(U141:U150)</f>
        <v>170617.432</v>
      </c>
      <c r="V151" s="41"/>
      <c r="W151" s="373"/>
    </row>
    <row r="152" spans="1:23" ht="39" customHeight="1">
      <c r="A152" s="386" t="s">
        <v>133</v>
      </c>
      <c r="B152" s="393" t="s">
        <v>134</v>
      </c>
      <c r="C152" s="375"/>
      <c r="D152" s="375"/>
      <c r="E152" s="375"/>
      <c r="F152" s="375"/>
      <c r="G152" s="375"/>
      <c r="H152" s="375"/>
      <c r="I152" s="375"/>
      <c r="J152" s="375"/>
      <c r="K152" s="375"/>
      <c r="L152" s="375"/>
      <c r="M152" s="375"/>
      <c r="N152" s="375"/>
      <c r="O152" s="375"/>
      <c r="P152" s="375"/>
      <c r="Q152" s="375"/>
      <c r="R152" s="375"/>
      <c r="S152" s="375"/>
      <c r="T152" s="375"/>
      <c r="U152" s="376"/>
      <c r="V152" s="41"/>
    </row>
    <row r="153" spans="1:23" ht="15" customHeight="1" outlineLevel="1">
      <c r="A153" s="386"/>
      <c r="B153" s="159" t="s">
        <v>16</v>
      </c>
      <c r="C153" s="160">
        <v>0.58333333333333337</v>
      </c>
      <c r="D153" s="139"/>
      <c r="E153" s="161">
        <v>11437</v>
      </c>
      <c r="F153" s="162">
        <f t="shared" ref="F153:F169" si="45">E153*3068</f>
        <v>35088716</v>
      </c>
      <c r="G153" s="163">
        <f t="shared" ref="G153:G169" si="46">I153/3068</f>
        <v>11437</v>
      </c>
      <c r="H153" s="162" t="s">
        <v>135</v>
      </c>
      <c r="I153" s="162">
        <v>35088716</v>
      </c>
      <c r="J153" s="164"/>
      <c r="K153" s="165"/>
      <c r="L153" s="164"/>
      <c r="M153" s="165"/>
      <c r="N153" s="164"/>
      <c r="O153" s="165"/>
      <c r="P153" s="164"/>
      <c r="Q153" s="165"/>
      <c r="R153" s="164"/>
      <c r="S153" s="165"/>
      <c r="T153" s="46">
        <f t="shared" ref="T153:T169" si="47">SUM(J153,L153,N153,P153,R153)</f>
        <v>0</v>
      </c>
      <c r="U153" s="11">
        <f t="shared" ref="U153:U169" si="48">SUM(K153,M153,O153,Q153,S153)</f>
        <v>0</v>
      </c>
      <c r="V153" s="41"/>
      <c r="W153" s="373" t="s">
        <v>136</v>
      </c>
    </row>
    <row r="154" spans="1:23" ht="15" customHeight="1" outlineLevel="1">
      <c r="A154" s="386"/>
      <c r="B154" s="159" t="s">
        <v>137</v>
      </c>
      <c r="C154" s="166">
        <v>1</v>
      </c>
      <c r="D154" s="139"/>
      <c r="E154" s="163">
        <v>8367</v>
      </c>
      <c r="F154" s="162">
        <f t="shared" si="45"/>
        <v>25669956</v>
      </c>
      <c r="G154" s="163">
        <f t="shared" si="46"/>
        <v>8367</v>
      </c>
      <c r="H154" s="167" t="s">
        <v>72</v>
      </c>
      <c r="I154" s="168">
        <v>25669956</v>
      </c>
      <c r="J154" s="164"/>
      <c r="K154" s="165"/>
      <c r="L154" s="164"/>
      <c r="M154" s="165"/>
      <c r="N154" s="164"/>
      <c r="O154" s="165"/>
      <c r="P154" s="164"/>
      <c r="Q154" s="165"/>
      <c r="R154" s="164"/>
      <c r="S154" s="165"/>
      <c r="T154" s="46">
        <f t="shared" si="47"/>
        <v>0</v>
      </c>
      <c r="U154" s="11">
        <f t="shared" si="48"/>
        <v>0</v>
      </c>
      <c r="V154" s="41"/>
      <c r="W154" s="373"/>
    </row>
    <row r="155" spans="1:23" ht="15" customHeight="1" outlineLevel="1">
      <c r="A155" s="386"/>
      <c r="B155" s="159" t="s">
        <v>5</v>
      </c>
      <c r="C155" s="160">
        <v>0.58333333333333337</v>
      </c>
      <c r="D155" s="139"/>
      <c r="E155" s="163">
        <v>377</v>
      </c>
      <c r="F155" s="162">
        <f t="shared" si="45"/>
        <v>1156636</v>
      </c>
      <c r="G155" s="163">
        <f t="shared" si="46"/>
        <v>377</v>
      </c>
      <c r="H155" s="169" t="s">
        <v>138</v>
      </c>
      <c r="I155" s="168">
        <v>1156636</v>
      </c>
      <c r="J155" s="164"/>
      <c r="K155" s="165"/>
      <c r="L155" s="164"/>
      <c r="M155" s="165"/>
      <c r="N155" s="164"/>
      <c r="O155" s="165"/>
      <c r="P155" s="164"/>
      <c r="Q155" s="165"/>
      <c r="R155" s="164"/>
      <c r="S155" s="165"/>
      <c r="T155" s="46">
        <f t="shared" si="47"/>
        <v>0</v>
      </c>
      <c r="U155" s="11">
        <f t="shared" si="48"/>
        <v>0</v>
      </c>
      <c r="V155" s="41"/>
      <c r="W155" s="373"/>
    </row>
    <row r="156" spans="1:23" ht="15" customHeight="1" outlineLevel="1">
      <c r="A156" s="386"/>
      <c r="B156" s="159" t="s">
        <v>7</v>
      </c>
      <c r="C156" s="170">
        <v>0.5</v>
      </c>
      <c r="D156" s="139"/>
      <c r="E156" s="163">
        <v>97</v>
      </c>
      <c r="F156" s="162">
        <f t="shared" si="45"/>
        <v>297596</v>
      </c>
      <c r="G156" s="163">
        <f t="shared" si="46"/>
        <v>97</v>
      </c>
      <c r="H156" s="167" t="s">
        <v>77</v>
      </c>
      <c r="I156" s="168">
        <v>297596</v>
      </c>
      <c r="J156" s="164"/>
      <c r="K156" s="165"/>
      <c r="L156" s="164"/>
      <c r="M156" s="165"/>
      <c r="N156" s="164"/>
      <c r="O156" s="165"/>
      <c r="P156" s="164"/>
      <c r="Q156" s="165"/>
      <c r="R156" s="164"/>
      <c r="S156" s="165"/>
      <c r="T156" s="46">
        <f t="shared" si="47"/>
        <v>0</v>
      </c>
      <c r="U156" s="11">
        <f t="shared" si="48"/>
        <v>0</v>
      </c>
      <c r="V156" s="41"/>
      <c r="W156" s="373"/>
    </row>
    <row r="157" spans="1:23" ht="15" customHeight="1" outlineLevel="1">
      <c r="A157" s="386"/>
      <c r="B157" s="159" t="s">
        <v>8</v>
      </c>
      <c r="C157" s="170">
        <v>0.5</v>
      </c>
      <c r="D157" s="139"/>
      <c r="E157" s="163">
        <v>159</v>
      </c>
      <c r="F157" s="162">
        <f t="shared" si="45"/>
        <v>487812</v>
      </c>
      <c r="G157" s="163">
        <f t="shared" si="46"/>
        <v>159</v>
      </c>
      <c r="H157" s="169" t="s">
        <v>139</v>
      </c>
      <c r="I157" s="168">
        <v>487812</v>
      </c>
      <c r="J157" s="164"/>
      <c r="K157" s="165"/>
      <c r="L157" s="164"/>
      <c r="M157" s="165"/>
      <c r="N157" s="164"/>
      <c r="O157" s="165"/>
      <c r="P157" s="164"/>
      <c r="Q157" s="165"/>
      <c r="R157" s="164"/>
      <c r="S157" s="165"/>
      <c r="T157" s="46">
        <f t="shared" si="47"/>
        <v>0</v>
      </c>
      <c r="U157" s="11">
        <f t="shared" si="48"/>
        <v>0</v>
      </c>
      <c r="V157" s="41"/>
      <c r="W157" s="373"/>
    </row>
    <row r="158" spans="1:23" ht="15" customHeight="1" outlineLevel="1">
      <c r="A158" s="386"/>
      <c r="B158" s="159" t="s">
        <v>9</v>
      </c>
      <c r="C158" s="171"/>
      <c r="D158" s="139"/>
      <c r="E158" s="163">
        <v>194</v>
      </c>
      <c r="F158" s="162">
        <f t="shared" si="45"/>
        <v>595192</v>
      </c>
      <c r="G158" s="163">
        <f t="shared" si="46"/>
        <v>194</v>
      </c>
      <c r="H158" s="167"/>
      <c r="I158" s="168">
        <v>595192</v>
      </c>
      <c r="J158" s="164"/>
      <c r="K158" s="165"/>
      <c r="L158" s="164"/>
      <c r="M158" s="165"/>
      <c r="N158" s="164"/>
      <c r="O158" s="165"/>
      <c r="P158" s="164"/>
      <c r="Q158" s="165"/>
      <c r="R158" s="164"/>
      <c r="S158" s="165"/>
      <c r="T158" s="46">
        <f t="shared" si="47"/>
        <v>0</v>
      </c>
      <c r="U158" s="11">
        <f t="shared" si="48"/>
        <v>0</v>
      </c>
      <c r="V158" s="41"/>
      <c r="W158" s="373"/>
    </row>
    <row r="159" spans="1:23" ht="15" customHeight="1" outlineLevel="1">
      <c r="A159" s="386"/>
      <c r="B159" s="159" t="s">
        <v>140</v>
      </c>
      <c r="C159" s="171"/>
      <c r="D159" s="139"/>
      <c r="E159" s="163">
        <v>215</v>
      </c>
      <c r="F159" s="162">
        <f t="shared" si="45"/>
        <v>659620</v>
      </c>
      <c r="G159" s="163">
        <f t="shared" si="46"/>
        <v>215</v>
      </c>
      <c r="H159" s="167" t="s">
        <v>141</v>
      </c>
      <c r="I159" s="168">
        <v>659620</v>
      </c>
      <c r="J159" s="164"/>
      <c r="K159" s="165"/>
      <c r="L159" s="164"/>
      <c r="M159" s="165"/>
      <c r="N159" s="164"/>
      <c r="O159" s="165"/>
      <c r="P159" s="164"/>
      <c r="Q159" s="165"/>
      <c r="R159" s="164"/>
      <c r="S159" s="165"/>
      <c r="T159" s="46">
        <f t="shared" si="47"/>
        <v>0</v>
      </c>
      <c r="U159" s="11">
        <f t="shared" si="48"/>
        <v>0</v>
      </c>
      <c r="V159" s="41"/>
      <c r="W159" s="373"/>
    </row>
    <row r="160" spans="1:23" ht="15" customHeight="1" outlineLevel="1">
      <c r="A160" s="386"/>
      <c r="B160" s="159" t="s">
        <v>11</v>
      </c>
      <c r="C160" s="170">
        <v>0.5</v>
      </c>
      <c r="D160" s="139"/>
      <c r="E160" s="163">
        <v>221</v>
      </c>
      <c r="F160" s="162">
        <f t="shared" si="45"/>
        <v>678028</v>
      </c>
      <c r="G160" s="163">
        <f t="shared" si="46"/>
        <v>221</v>
      </c>
      <c r="H160" s="169" t="s">
        <v>142</v>
      </c>
      <c r="I160" s="168">
        <v>678028</v>
      </c>
      <c r="J160" s="164"/>
      <c r="K160" s="165"/>
      <c r="L160" s="164"/>
      <c r="M160" s="165"/>
      <c r="N160" s="164"/>
      <c r="O160" s="165"/>
      <c r="P160" s="164"/>
      <c r="Q160" s="165"/>
      <c r="R160" s="164"/>
      <c r="S160" s="165"/>
      <c r="T160" s="46">
        <f t="shared" si="47"/>
        <v>0</v>
      </c>
      <c r="U160" s="11">
        <f t="shared" si="48"/>
        <v>0</v>
      </c>
      <c r="V160" s="41"/>
      <c r="W160" s="373"/>
    </row>
    <row r="161" spans="1:23" ht="15" customHeight="1" outlineLevel="1">
      <c r="A161" s="386"/>
      <c r="B161" s="159" t="s">
        <v>12</v>
      </c>
      <c r="C161" s="166">
        <v>1</v>
      </c>
      <c r="D161" s="139"/>
      <c r="E161" s="163">
        <v>3164</v>
      </c>
      <c r="F161" s="162">
        <f t="shared" si="45"/>
        <v>9707152</v>
      </c>
      <c r="G161" s="163">
        <f t="shared" si="46"/>
        <v>3164</v>
      </c>
      <c r="H161" s="169" t="s">
        <v>143</v>
      </c>
      <c r="I161" s="168">
        <v>9707152</v>
      </c>
      <c r="J161" s="164"/>
      <c r="K161" s="165"/>
      <c r="L161" s="164"/>
      <c r="M161" s="165"/>
      <c r="N161" s="164"/>
      <c r="O161" s="165"/>
      <c r="P161" s="164"/>
      <c r="Q161" s="165"/>
      <c r="R161" s="164"/>
      <c r="S161" s="165"/>
      <c r="T161" s="46">
        <f t="shared" si="47"/>
        <v>0</v>
      </c>
      <c r="U161" s="11">
        <f t="shared" si="48"/>
        <v>0</v>
      </c>
      <c r="V161" s="41"/>
      <c r="W161" s="373"/>
    </row>
    <row r="162" spans="1:23" ht="15" customHeight="1" outlineLevel="1">
      <c r="A162" s="386"/>
      <c r="B162" s="159" t="s">
        <v>144</v>
      </c>
      <c r="C162" s="171"/>
      <c r="D162" s="139"/>
      <c r="E162" s="163">
        <v>830</v>
      </c>
      <c r="F162" s="162">
        <f t="shared" si="45"/>
        <v>2546440</v>
      </c>
      <c r="G162" s="163">
        <f t="shared" si="46"/>
        <v>830</v>
      </c>
      <c r="H162" s="169" t="s">
        <v>145</v>
      </c>
      <c r="I162" s="168">
        <v>2546440</v>
      </c>
      <c r="J162" s="164"/>
      <c r="K162" s="165"/>
      <c r="L162" s="164"/>
      <c r="M162" s="165"/>
      <c r="N162" s="164"/>
      <c r="O162" s="165"/>
      <c r="P162" s="164"/>
      <c r="Q162" s="165"/>
      <c r="R162" s="164"/>
      <c r="S162" s="165"/>
      <c r="T162" s="46">
        <f t="shared" si="47"/>
        <v>0</v>
      </c>
      <c r="U162" s="11">
        <f t="shared" si="48"/>
        <v>0</v>
      </c>
      <c r="V162" s="41"/>
      <c r="W162" s="373"/>
    </row>
    <row r="163" spans="1:23" ht="15" customHeight="1" outlineLevel="1">
      <c r="A163" s="386"/>
      <c r="B163" s="159" t="s">
        <v>14</v>
      </c>
      <c r="C163" s="171"/>
      <c r="D163" s="139"/>
      <c r="E163" s="163">
        <v>280</v>
      </c>
      <c r="F163" s="162">
        <f t="shared" si="45"/>
        <v>859040</v>
      </c>
      <c r="G163" s="163">
        <f t="shared" si="46"/>
        <v>280</v>
      </c>
      <c r="H163" s="167"/>
      <c r="I163" s="168">
        <v>859040</v>
      </c>
      <c r="J163" s="164"/>
      <c r="K163" s="165"/>
      <c r="L163" s="164"/>
      <c r="M163" s="165"/>
      <c r="N163" s="164"/>
      <c r="O163" s="165"/>
      <c r="P163" s="164"/>
      <c r="Q163" s="165"/>
      <c r="R163" s="164"/>
      <c r="S163" s="165"/>
      <c r="T163" s="46">
        <f t="shared" si="47"/>
        <v>0</v>
      </c>
      <c r="U163" s="11">
        <f t="shared" si="48"/>
        <v>0</v>
      </c>
      <c r="V163" s="41"/>
      <c r="W163" s="373"/>
    </row>
    <row r="164" spans="1:23" ht="15" customHeight="1" outlineLevel="1">
      <c r="A164" s="386"/>
      <c r="B164" s="159" t="s">
        <v>30</v>
      </c>
      <c r="C164" s="171"/>
      <c r="D164" s="139"/>
      <c r="E164" s="161">
        <v>0</v>
      </c>
      <c r="F164" s="162">
        <f t="shared" si="45"/>
        <v>0</v>
      </c>
      <c r="G164" s="163">
        <f t="shared" si="46"/>
        <v>0</v>
      </c>
      <c r="H164" s="162"/>
      <c r="I164" s="168"/>
      <c r="J164" s="164"/>
      <c r="K164" s="165"/>
      <c r="L164" s="164"/>
      <c r="M164" s="165"/>
      <c r="N164" s="164"/>
      <c r="O164" s="165"/>
      <c r="P164" s="164"/>
      <c r="Q164" s="165"/>
      <c r="R164" s="164"/>
      <c r="S164" s="165"/>
      <c r="T164" s="46">
        <f t="shared" si="47"/>
        <v>0</v>
      </c>
      <c r="U164" s="11">
        <f t="shared" si="48"/>
        <v>0</v>
      </c>
      <c r="V164" s="41"/>
      <c r="W164" s="373"/>
    </row>
    <row r="165" spans="1:23" ht="15" customHeight="1" outlineLevel="1">
      <c r="A165" s="386"/>
      <c r="B165" s="159" t="s">
        <v>31</v>
      </c>
      <c r="C165" s="171"/>
      <c r="D165" s="139"/>
      <c r="E165" s="161">
        <v>2638</v>
      </c>
      <c r="F165" s="162">
        <f t="shared" si="45"/>
        <v>8093384</v>
      </c>
      <c r="G165" s="163">
        <f t="shared" si="46"/>
        <v>2638</v>
      </c>
      <c r="H165" s="162"/>
      <c r="I165" s="168">
        <v>8093384</v>
      </c>
      <c r="J165" s="164"/>
      <c r="K165" s="165"/>
      <c r="L165" s="164"/>
      <c r="M165" s="165"/>
      <c r="N165" s="164"/>
      <c r="O165" s="165"/>
      <c r="P165" s="164"/>
      <c r="Q165" s="165"/>
      <c r="R165" s="164"/>
      <c r="S165" s="165"/>
      <c r="T165" s="46">
        <f t="shared" si="47"/>
        <v>0</v>
      </c>
      <c r="U165" s="11">
        <f t="shared" si="48"/>
        <v>0</v>
      </c>
      <c r="V165" s="41"/>
      <c r="W165" s="373"/>
    </row>
    <row r="166" spans="1:23" ht="15" customHeight="1" outlineLevel="1">
      <c r="A166" s="386"/>
      <c r="B166" s="159" t="s">
        <v>32</v>
      </c>
      <c r="C166" s="171"/>
      <c r="D166" s="139"/>
      <c r="E166" s="161">
        <v>467</v>
      </c>
      <c r="F166" s="162">
        <f t="shared" si="45"/>
        <v>1432756</v>
      </c>
      <c r="G166" s="163">
        <f t="shared" si="46"/>
        <v>467</v>
      </c>
      <c r="H166" s="162"/>
      <c r="I166" s="168">
        <v>1432756</v>
      </c>
      <c r="J166" s="164"/>
      <c r="K166" s="165"/>
      <c r="L166" s="164"/>
      <c r="M166" s="165"/>
      <c r="N166" s="164"/>
      <c r="O166" s="165"/>
      <c r="P166" s="164"/>
      <c r="Q166" s="165"/>
      <c r="R166" s="164"/>
      <c r="S166" s="165"/>
      <c r="T166" s="46">
        <f t="shared" si="47"/>
        <v>0</v>
      </c>
      <c r="U166" s="11">
        <f t="shared" si="48"/>
        <v>0</v>
      </c>
      <c r="V166" s="41"/>
      <c r="W166" s="373"/>
    </row>
    <row r="167" spans="1:23" ht="15" customHeight="1" outlineLevel="1">
      <c r="A167" s="386"/>
      <c r="B167" s="159" t="s">
        <v>33</v>
      </c>
      <c r="C167" s="171"/>
      <c r="D167" s="139"/>
      <c r="E167" s="161">
        <v>0</v>
      </c>
      <c r="F167" s="162">
        <f t="shared" si="45"/>
        <v>0</v>
      </c>
      <c r="G167" s="163">
        <f t="shared" si="46"/>
        <v>0</v>
      </c>
      <c r="H167" s="162"/>
      <c r="I167" s="168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46">
        <f t="shared" si="47"/>
        <v>0</v>
      </c>
      <c r="U167" s="11">
        <f t="shared" si="48"/>
        <v>0</v>
      </c>
      <c r="V167" s="41"/>
      <c r="W167" s="373"/>
    </row>
    <row r="168" spans="1:23" ht="15" customHeight="1" outlineLevel="1">
      <c r="A168" s="386"/>
      <c r="B168" s="159" t="s">
        <v>34</v>
      </c>
      <c r="C168" s="172"/>
      <c r="D168" s="139"/>
      <c r="E168" s="161">
        <v>0</v>
      </c>
      <c r="F168" s="162">
        <f t="shared" si="45"/>
        <v>0</v>
      </c>
      <c r="G168" s="163">
        <f t="shared" si="46"/>
        <v>0</v>
      </c>
      <c r="H168" s="162"/>
      <c r="I168" s="162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46">
        <f t="shared" si="47"/>
        <v>0</v>
      </c>
      <c r="U168" s="11">
        <f t="shared" si="48"/>
        <v>0</v>
      </c>
      <c r="V168" s="41"/>
      <c r="W168" s="373"/>
    </row>
    <row r="169" spans="1:23" ht="15" customHeight="1" outlineLevel="1">
      <c r="A169" s="386"/>
      <c r="B169" s="159" t="s">
        <v>146</v>
      </c>
      <c r="C169" s="172"/>
      <c r="D169" s="139"/>
      <c r="E169" s="161">
        <v>50</v>
      </c>
      <c r="F169" s="162">
        <f t="shared" si="45"/>
        <v>153400</v>
      </c>
      <c r="G169" s="163">
        <f t="shared" si="46"/>
        <v>50</v>
      </c>
      <c r="H169" s="162"/>
      <c r="I169" s="162">
        <v>153400</v>
      </c>
      <c r="J169" s="164"/>
      <c r="K169" s="165"/>
      <c r="L169" s="164"/>
      <c r="M169" s="165"/>
      <c r="N169" s="164"/>
      <c r="O169" s="165"/>
      <c r="P169" s="164"/>
      <c r="Q169" s="165"/>
      <c r="R169" s="164"/>
      <c r="S169" s="165"/>
      <c r="T169" s="46">
        <f t="shared" si="47"/>
        <v>0</v>
      </c>
      <c r="U169" s="11">
        <f t="shared" si="48"/>
        <v>0</v>
      </c>
      <c r="V169" s="41"/>
      <c r="W169" s="373"/>
    </row>
    <row r="170" spans="1:23" s="75" customFormat="1" ht="15" customHeight="1" outlineLevel="1">
      <c r="A170" s="386"/>
      <c r="B170" s="173" t="s">
        <v>18</v>
      </c>
      <c r="C170" s="146"/>
      <c r="D170" s="174">
        <f>SUM(D153:D168)</f>
        <v>0</v>
      </c>
      <c r="E170" s="175">
        <f>SUM(E153:E168)</f>
        <v>28446</v>
      </c>
      <c r="F170" s="176">
        <f>SUM(F153:F169)</f>
        <v>87425728</v>
      </c>
      <c r="G170" s="76">
        <f>SUM(G153:G169)</f>
        <v>28496</v>
      </c>
      <c r="H170" s="177"/>
      <c r="I170" s="173">
        <f t="shared" ref="I170:U170" si="49">SUM(I153:I169)</f>
        <v>87425728</v>
      </c>
      <c r="J170" s="178">
        <f t="shared" si="49"/>
        <v>0</v>
      </c>
      <c r="K170" s="178">
        <f t="shared" si="49"/>
        <v>0</v>
      </c>
      <c r="L170" s="178">
        <f t="shared" si="49"/>
        <v>0</v>
      </c>
      <c r="M170" s="178">
        <f t="shared" si="49"/>
        <v>0</v>
      </c>
      <c r="N170" s="178">
        <f t="shared" si="49"/>
        <v>0</v>
      </c>
      <c r="O170" s="178">
        <f t="shared" si="49"/>
        <v>0</v>
      </c>
      <c r="P170" s="178">
        <f t="shared" si="49"/>
        <v>0</v>
      </c>
      <c r="Q170" s="178">
        <f t="shared" si="49"/>
        <v>0</v>
      </c>
      <c r="R170" s="178">
        <f t="shared" si="49"/>
        <v>0</v>
      </c>
      <c r="S170" s="178">
        <f t="shared" si="49"/>
        <v>0</v>
      </c>
      <c r="T170" s="178">
        <f t="shared" si="49"/>
        <v>0</v>
      </c>
      <c r="U170" s="173">
        <f t="shared" si="49"/>
        <v>0</v>
      </c>
      <c r="V170" s="41"/>
      <c r="W170" s="373"/>
    </row>
    <row r="171" spans="1:23" ht="57.75" customHeight="1">
      <c r="A171" s="386" t="s">
        <v>147</v>
      </c>
      <c r="B171" s="374" t="s">
        <v>148</v>
      </c>
      <c r="C171" s="375"/>
      <c r="D171" s="375"/>
      <c r="E171" s="375"/>
      <c r="F171" s="375"/>
      <c r="G171" s="375"/>
      <c r="H171" s="375"/>
      <c r="I171" s="375"/>
      <c r="J171" s="375"/>
      <c r="K171" s="375"/>
      <c r="L171" s="375"/>
      <c r="M171" s="375"/>
      <c r="N171" s="375"/>
      <c r="O171" s="375"/>
      <c r="P171" s="375"/>
      <c r="Q171" s="375"/>
      <c r="R171" s="375"/>
      <c r="S171" s="375"/>
      <c r="T171" s="375"/>
      <c r="U171" s="376"/>
      <c r="V171" s="41"/>
    </row>
    <row r="172" spans="1:23" ht="15" customHeight="1" outlineLevel="1">
      <c r="A172" s="386"/>
      <c r="B172" s="159" t="s">
        <v>16</v>
      </c>
      <c r="C172" s="172"/>
      <c r="D172" s="49"/>
      <c r="E172" s="50"/>
      <c r="F172" s="50"/>
      <c r="G172" s="51"/>
      <c r="H172" s="179"/>
      <c r="I172" s="179"/>
      <c r="J172" s="179"/>
      <c r="K172" s="179"/>
      <c r="L172" s="179"/>
      <c r="M172" s="179"/>
      <c r="N172" s="179"/>
      <c r="O172" s="179"/>
      <c r="P172" s="179"/>
      <c r="Q172" s="179"/>
      <c r="R172" s="179"/>
      <c r="S172" s="179"/>
      <c r="T172" s="179"/>
      <c r="U172" s="180">
        <f t="shared" ref="U172:U187" si="50">SUM(G172:Q172)</f>
        <v>0</v>
      </c>
      <c r="V172" s="41" t="e">
        <f t="shared" ref="V172:V203" si="51">(G172/C172)*100 -100</f>
        <v>#DIV/0!</v>
      </c>
    </row>
    <row r="173" spans="1:23" ht="15" customHeight="1" outlineLevel="1">
      <c r="A173" s="386"/>
      <c r="B173" s="181" t="s">
        <v>4</v>
      </c>
      <c r="C173" s="182"/>
      <c r="D173" s="49"/>
      <c r="E173" s="50"/>
      <c r="F173" s="50"/>
      <c r="G173" s="51"/>
      <c r="H173" s="179"/>
      <c r="I173" s="179"/>
      <c r="J173" s="179"/>
      <c r="K173" s="179"/>
      <c r="L173" s="179"/>
      <c r="M173" s="179"/>
      <c r="N173" s="179"/>
      <c r="O173" s="179"/>
      <c r="P173" s="179"/>
      <c r="Q173" s="179"/>
      <c r="R173" s="179"/>
      <c r="S173" s="179"/>
      <c r="T173" s="179"/>
      <c r="U173" s="180">
        <f t="shared" si="50"/>
        <v>0</v>
      </c>
      <c r="V173" s="41" t="e">
        <f t="shared" si="51"/>
        <v>#DIV/0!</v>
      </c>
    </row>
    <row r="174" spans="1:23" ht="15" customHeight="1" outlineLevel="1">
      <c r="A174" s="386"/>
      <c r="B174" s="181" t="s">
        <v>5</v>
      </c>
      <c r="C174" s="182"/>
      <c r="D174" s="49"/>
      <c r="E174" s="50"/>
      <c r="F174" s="50"/>
      <c r="G174" s="51"/>
      <c r="H174" s="179"/>
      <c r="I174" s="179"/>
      <c r="J174" s="179"/>
      <c r="K174" s="179"/>
      <c r="L174" s="179"/>
      <c r="M174" s="179"/>
      <c r="N174" s="179"/>
      <c r="O174" s="179"/>
      <c r="P174" s="179"/>
      <c r="Q174" s="179"/>
      <c r="R174" s="179"/>
      <c r="S174" s="179"/>
      <c r="T174" s="179"/>
      <c r="U174" s="180">
        <f t="shared" si="50"/>
        <v>0</v>
      </c>
      <c r="V174" s="41" t="e">
        <f t="shared" si="51"/>
        <v>#DIV/0!</v>
      </c>
    </row>
    <row r="175" spans="1:23" ht="15" customHeight="1" outlineLevel="1">
      <c r="A175" s="386"/>
      <c r="B175" s="181" t="s">
        <v>7</v>
      </c>
      <c r="C175" s="182"/>
      <c r="D175" s="49"/>
      <c r="E175" s="50"/>
      <c r="F175" s="50"/>
      <c r="G175" s="51"/>
      <c r="H175" s="179"/>
      <c r="I175" s="179"/>
      <c r="J175" s="179"/>
      <c r="K175" s="179"/>
      <c r="L175" s="179"/>
      <c r="M175" s="179"/>
      <c r="N175" s="179"/>
      <c r="O175" s="179"/>
      <c r="P175" s="179"/>
      <c r="Q175" s="179"/>
      <c r="R175" s="179"/>
      <c r="S175" s="179"/>
      <c r="T175" s="179"/>
      <c r="U175" s="180">
        <f t="shared" si="50"/>
        <v>0</v>
      </c>
      <c r="V175" s="41" t="e">
        <f t="shared" si="51"/>
        <v>#DIV/0!</v>
      </c>
    </row>
    <row r="176" spans="1:23" ht="15" customHeight="1" outlineLevel="1">
      <c r="A176" s="386"/>
      <c r="B176" s="181" t="s">
        <v>8</v>
      </c>
      <c r="C176" s="182"/>
      <c r="D176" s="49"/>
      <c r="E176" s="50"/>
      <c r="F176" s="50"/>
      <c r="G176" s="51"/>
      <c r="H176" s="179"/>
      <c r="I176" s="179"/>
      <c r="J176" s="179"/>
      <c r="K176" s="179"/>
      <c r="L176" s="179"/>
      <c r="M176" s="179"/>
      <c r="N176" s="179"/>
      <c r="O176" s="179"/>
      <c r="P176" s="179"/>
      <c r="Q176" s="179"/>
      <c r="R176" s="179"/>
      <c r="S176" s="179"/>
      <c r="T176" s="179"/>
      <c r="U176" s="180">
        <f t="shared" si="50"/>
        <v>0</v>
      </c>
      <c r="V176" s="41" t="e">
        <f t="shared" si="51"/>
        <v>#DIV/0!</v>
      </c>
    </row>
    <row r="177" spans="1:22" ht="15" customHeight="1" outlineLevel="1">
      <c r="A177" s="386"/>
      <c r="B177" s="181" t="s">
        <v>9</v>
      </c>
      <c r="C177" s="182"/>
      <c r="D177" s="49"/>
      <c r="E177" s="50"/>
      <c r="F177" s="50"/>
      <c r="G177" s="51"/>
      <c r="H177" s="179"/>
      <c r="I177" s="179"/>
      <c r="J177" s="179"/>
      <c r="K177" s="179"/>
      <c r="L177" s="179"/>
      <c r="M177" s="179"/>
      <c r="N177" s="179"/>
      <c r="O177" s="179"/>
      <c r="P177" s="179"/>
      <c r="Q177" s="179"/>
      <c r="R177" s="179"/>
      <c r="S177" s="179"/>
      <c r="T177" s="179"/>
      <c r="U177" s="180">
        <f t="shared" si="50"/>
        <v>0</v>
      </c>
      <c r="V177" s="41" t="e">
        <f t="shared" si="51"/>
        <v>#DIV/0!</v>
      </c>
    </row>
    <row r="178" spans="1:22" ht="15" customHeight="1" outlineLevel="1">
      <c r="A178" s="386"/>
      <c r="B178" s="181" t="s">
        <v>10</v>
      </c>
      <c r="C178" s="182"/>
      <c r="D178" s="49"/>
      <c r="E178" s="50"/>
      <c r="F178" s="50"/>
      <c r="G178" s="51"/>
      <c r="H178" s="179"/>
      <c r="I178" s="179"/>
      <c r="J178" s="179"/>
      <c r="K178" s="179"/>
      <c r="L178" s="179"/>
      <c r="M178" s="179"/>
      <c r="N178" s="179"/>
      <c r="O178" s="179"/>
      <c r="P178" s="179"/>
      <c r="Q178" s="179"/>
      <c r="R178" s="179"/>
      <c r="S178" s="179"/>
      <c r="T178" s="179"/>
      <c r="U178" s="180">
        <f t="shared" si="50"/>
        <v>0</v>
      </c>
      <c r="V178" s="41" t="e">
        <f t="shared" si="51"/>
        <v>#DIV/0!</v>
      </c>
    </row>
    <row r="179" spans="1:22" ht="15" customHeight="1" outlineLevel="1">
      <c r="A179" s="386"/>
      <c r="B179" s="181" t="s">
        <v>11</v>
      </c>
      <c r="C179" s="182"/>
      <c r="D179" s="49"/>
      <c r="E179" s="50"/>
      <c r="F179" s="50"/>
      <c r="G179" s="51"/>
      <c r="H179" s="179"/>
      <c r="I179" s="179"/>
      <c r="J179" s="179"/>
      <c r="K179" s="179"/>
      <c r="L179" s="179"/>
      <c r="M179" s="179"/>
      <c r="N179" s="179"/>
      <c r="O179" s="179"/>
      <c r="P179" s="179"/>
      <c r="Q179" s="179"/>
      <c r="R179" s="179"/>
      <c r="S179" s="179"/>
      <c r="T179" s="179"/>
      <c r="U179" s="180">
        <f t="shared" si="50"/>
        <v>0</v>
      </c>
      <c r="V179" s="41" t="e">
        <f t="shared" si="51"/>
        <v>#DIV/0!</v>
      </c>
    </row>
    <row r="180" spans="1:22" ht="15" customHeight="1" outlineLevel="1">
      <c r="A180" s="386"/>
      <c r="B180" s="181" t="s">
        <v>12</v>
      </c>
      <c r="C180" s="182"/>
      <c r="D180" s="49"/>
      <c r="E180" s="50"/>
      <c r="F180" s="50"/>
      <c r="G180" s="51"/>
      <c r="H180" s="179"/>
      <c r="I180" s="179"/>
      <c r="J180" s="179"/>
      <c r="K180" s="179"/>
      <c r="L180" s="179"/>
      <c r="M180" s="179"/>
      <c r="N180" s="179"/>
      <c r="O180" s="179"/>
      <c r="P180" s="179"/>
      <c r="Q180" s="179"/>
      <c r="R180" s="179"/>
      <c r="S180" s="179"/>
      <c r="T180" s="179"/>
      <c r="U180" s="180">
        <f t="shared" si="50"/>
        <v>0</v>
      </c>
      <c r="V180" s="41" t="e">
        <f t="shared" si="51"/>
        <v>#DIV/0!</v>
      </c>
    </row>
    <row r="181" spans="1:22" ht="15" customHeight="1" outlineLevel="1">
      <c r="A181" s="386"/>
      <c r="B181" s="181" t="s">
        <v>13</v>
      </c>
      <c r="C181" s="182"/>
      <c r="D181" s="49"/>
      <c r="E181" s="50"/>
      <c r="F181" s="50"/>
      <c r="G181" s="51"/>
      <c r="H181" s="179"/>
      <c r="I181" s="179"/>
      <c r="J181" s="179"/>
      <c r="K181" s="179"/>
      <c r="L181" s="179"/>
      <c r="M181" s="179"/>
      <c r="N181" s="179"/>
      <c r="O181" s="179"/>
      <c r="P181" s="179"/>
      <c r="Q181" s="179"/>
      <c r="R181" s="179"/>
      <c r="S181" s="179"/>
      <c r="T181" s="179"/>
      <c r="U181" s="180">
        <f t="shared" si="50"/>
        <v>0</v>
      </c>
      <c r="V181" s="41" t="e">
        <f t="shared" si="51"/>
        <v>#DIV/0!</v>
      </c>
    </row>
    <row r="182" spans="1:22" ht="15" customHeight="1" outlineLevel="1">
      <c r="A182" s="386"/>
      <c r="B182" s="181" t="s">
        <v>14</v>
      </c>
      <c r="C182" s="182"/>
      <c r="D182" s="49"/>
      <c r="E182" s="50"/>
      <c r="F182" s="50"/>
      <c r="G182" s="51"/>
      <c r="H182" s="179"/>
      <c r="I182" s="179"/>
      <c r="J182" s="179"/>
      <c r="K182" s="179"/>
      <c r="L182" s="179"/>
      <c r="M182" s="179"/>
      <c r="N182" s="179"/>
      <c r="O182" s="179"/>
      <c r="P182" s="179"/>
      <c r="Q182" s="179"/>
      <c r="R182" s="179"/>
      <c r="S182" s="179"/>
      <c r="T182" s="179"/>
      <c r="U182" s="180">
        <f t="shared" si="50"/>
        <v>0</v>
      </c>
      <c r="V182" s="41" t="e">
        <f t="shared" si="51"/>
        <v>#DIV/0!</v>
      </c>
    </row>
    <row r="183" spans="1:22" ht="15" customHeight="1" outlineLevel="1">
      <c r="A183" s="386"/>
      <c r="B183" s="181" t="s">
        <v>30</v>
      </c>
      <c r="C183" s="182"/>
      <c r="D183" s="49"/>
      <c r="E183" s="50"/>
      <c r="F183" s="50"/>
      <c r="G183" s="51"/>
      <c r="H183" s="179"/>
      <c r="I183" s="179"/>
      <c r="J183" s="179"/>
      <c r="K183" s="179"/>
      <c r="L183" s="179"/>
      <c r="M183" s="179"/>
      <c r="N183" s="179"/>
      <c r="O183" s="179"/>
      <c r="P183" s="179"/>
      <c r="Q183" s="179"/>
      <c r="R183" s="179"/>
      <c r="S183" s="179"/>
      <c r="T183" s="179"/>
      <c r="U183" s="180">
        <f t="shared" si="50"/>
        <v>0</v>
      </c>
      <c r="V183" s="41" t="e">
        <f t="shared" si="51"/>
        <v>#DIV/0!</v>
      </c>
    </row>
    <row r="184" spans="1:22" ht="15" customHeight="1" outlineLevel="1">
      <c r="A184" s="386"/>
      <c r="B184" s="181" t="s">
        <v>31</v>
      </c>
      <c r="C184" s="182"/>
      <c r="D184" s="49"/>
      <c r="E184" s="50"/>
      <c r="F184" s="50"/>
      <c r="G184" s="51"/>
      <c r="H184" s="179"/>
      <c r="I184" s="179"/>
      <c r="J184" s="179"/>
      <c r="K184" s="179"/>
      <c r="L184" s="179"/>
      <c r="M184" s="179"/>
      <c r="N184" s="179"/>
      <c r="O184" s="179"/>
      <c r="P184" s="179"/>
      <c r="Q184" s="179"/>
      <c r="R184" s="179"/>
      <c r="S184" s="179"/>
      <c r="T184" s="179"/>
      <c r="U184" s="180">
        <f t="shared" si="50"/>
        <v>0</v>
      </c>
      <c r="V184" s="41" t="e">
        <f t="shared" si="51"/>
        <v>#DIV/0!</v>
      </c>
    </row>
    <row r="185" spans="1:22" ht="15" customHeight="1" outlineLevel="1">
      <c r="A185" s="386"/>
      <c r="B185" s="181" t="s">
        <v>32</v>
      </c>
      <c r="C185" s="182"/>
      <c r="D185" s="49"/>
      <c r="E185" s="50"/>
      <c r="F185" s="50"/>
      <c r="G185" s="51"/>
      <c r="H185" s="179"/>
      <c r="I185" s="179"/>
      <c r="J185" s="179"/>
      <c r="K185" s="179"/>
      <c r="L185" s="179"/>
      <c r="M185" s="179"/>
      <c r="N185" s="179"/>
      <c r="O185" s="179"/>
      <c r="P185" s="179"/>
      <c r="Q185" s="179"/>
      <c r="R185" s="179"/>
      <c r="S185" s="179"/>
      <c r="T185" s="179"/>
      <c r="U185" s="180">
        <f t="shared" si="50"/>
        <v>0</v>
      </c>
      <c r="V185" s="41" t="e">
        <f t="shared" si="51"/>
        <v>#DIV/0!</v>
      </c>
    </row>
    <row r="186" spans="1:22" ht="15" customHeight="1" outlineLevel="1">
      <c r="A186" s="386"/>
      <c r="B186" s="181" t="s">
        <v>33</v>
      </c>
      <c r="C186" s="182"/>
      <c r="D186" s="49"/>
      <c r="E186" s="50"/>
      <c r="F186" s="50"/>
      <c r="G186" s="51"/>
      <c r="H186" s="179"/>
      <c r="I186" s="179"/>
      <c r="J186" s="179"/>
      <c r="K186" s="179"/>
      <c r="L186" s="179"/>
      <c r="M186" s="179"/>
      <c r="N186" s="179"/>
      <c r="O186" s="179"/>
      <c r="P186" s="179"/>
      <c r="Q186" s="179"/>
      <c r="R186" s="179"/>
      <c r="S186" s="179"/>
      <c r="T186" s="179"/>
      <c r="U186" s="180">
        <f t="shared" si="50"/>
        <v>0</v>
      </c>
      <c r="V186" s="41" t="e">
        <f t="shared" si="51"/>
        <v>#DIV/0!</v>
      </c>
    </row>
    <row r="187" spans="1:22" ht="15" customHeight="1" outlineLevel="1">
      <c r="A187" s="386"/>
      <c r="B187" s="181" t="s">
        <v>34</v>
      </c>
      <c r="C187" s="182"/>
      <c r="D187" s="49"/>
      <c r="E187" s="50"/>
      <c r="F187" s="50"/>
      <c r="G187" s="51"/>
      <c r="H187" s="179"/>
      <c r="I187" s="179"/>
      <c r="J187" s="179"/>
      <c r="K187" s="179"/>
      <c r="L187" s="179"/>
      <c r="M187" s="179"/>
      <c r="N187" s="179"/>
      <c r="O187" s="179"/>
      <c r="P187" s="179"/>
      <c r="Q187" s="179"/>
      <c r="R187" s="179"/>
      <c r="S187" s="179"/>
      <c r="T187" s="179"/>
      <c r="U187" s="180">
        <f t="shared" si="50"/>
        <v>0</v>
      </c>
      <c r="V187" s="41" t="e">
        <f t="shared" si="51"/>
        <v>#DIV/0!</v>
      </c>
    </row>
    <row r="188" spans="1:22" ht="15" customHeight="1" outlineLevel="1">
      <c r="A188" s="386"/>
      <c r="B188" s="173" t="s">
        <v>18</v>
      </c>
      <c r="C188" s="146"/>
      <c r="D188" s="183">
        <f>SUM(D172:D187)</f>
        <v>0</v>
      </c>
      <c r="E188" s="184"/>
      <c r="F188" s="184"/>
      <c r="G188" s="109">
        <f>SUM(G172:G187)</f>
        <v>0</v>
      </c>
      <c r="H188" s="185"/>
      <c r="I188" s="186"/>
      <c r="J188" s="186">
        <f t="shared" ref="J188:U188" si="52">SUM(J172:J187)</f>
        <v>0</v>
      </c>
      <c r="K188" s="186"/>
      <c r="L188" s="186"/>
      <c r="M188" s="186">
        <f t="shared" si="52"/>
        <v>0</v>
      </c>
      <c r="N188" s="186"/>
      <c r="O188" s="186">
        <f t="shared" si="52"/>
        <v>0</v>
      </c>
      <c r="P188" s="186"/>
      <c r="Q188" s="186">
        <f t="shared" si="52"/>
        <v>0</v>
      </c>
      <c r="R188" s="186"/>
      <c r="S188" s="186">
        <f>SUM(S172:S187)</f>
        <v>0</v>
      </c>
      <c r="T188" s="186"/>
      <c r="U188" s="186">
        <f t="shared" si="52"/>
        <v>0</v>
      </c>
      <c r="V188" s="41" t="e">
        <f t="shared" si="51"/>
        <v>#DIV/0!</v>
      </c>
    </row>
    <row r="189" spans="1:22" ht="57" customHeight="1">
      <c r="A189" s="386" t="s">
        <v>149</v>
      </c>
      <c r="B189" s="396" t="s">
        <v>150</v>
      </c>
      <c r="C189" s="397"/>
      <c r="D189" s="397"/>
      <c r="E189" s="397"/>
      <c r="F189" s="397"/>
      <c r="G189" s="397"/>
      <c r="H189" s="397"/>
      <c r="I189" s="397"/>
      <c r="J189" s="397"/>
      <c r="K189" s="397"/>
      <c r="L189" s="397"/>
      <c r="M189" s="397"/>
      <c r="N189" s="397"/>
      <c r="O189" s="397"/>
      <c r="P189" s="397"/>
      <c r="Q189" s="397"/>
      <c r="R189" s="397"/>
      <c r="S189" s="397"/>
      <c r="T189" s="397"/>
      <c r="U189" s="398"/>
      <c r="V189" s="41"/>
    </row>
    <row r="190" spans="1:22" ht="15" customHeight="1" outlineLevel="1">
      <c r="A190" s="386"/>
      <c r="B190" s="83" t="s">
        <v>108</v>
      </c>
      <c r="C190" s="136"/>
      <c r="D190" s="49"/>
      <c r="E190" s="50"/>
      <c r="F190" s="50"/>
      <c r="G190" s="51"/>
      <c r="H190" s="52" t="s">
        <v>151</v>
      </c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11">
        <f t="shared" ref="U190:U200" si="53">SUM(G190:Q190)</f>
        <v>0</v>
      </c>
      <c r="V190" s="41"/>
    </row>
    <row r="191" spans="1:22" ht="15" customHeight="1" outlineLevel="1">
      <c r="A191" s="386"/>
      <c r="B191" s="83" t="s">
        <v>4</v>
      </c>
      <c r="C191" s="136"/>
      <c r="D191" s="49"/>
      <c r="E191" s="50"/>
      <c r="F191" s="50"/>
      <c r="G191" s="51"/>
      <c r="H191" s="25" t="s">
        <v>72</v>
      </c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11">
        <f t="shared" si="53"/>
        <v>0</v>
      </c>
      <c r="V191" s="41"/>
    </row>
    <row r="192" spans="1:22" ht="15" customHeight="1" outlineLevel="1">
      <c r="A192" s="386"/>
      <c r="B192" s="83" t="s">
        <v>152</v>
      </c>
      <c r="C192" s="136"/>
      <c r="D192" s="49"/>
      <c r="E192" s="50"/>
      <c r="F192" s="50"/>
      <c r="G192" s="51"/>
      <c r="H192" s="52" t="s">
        <v>153</v>
      </c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11">
        <f t="shared" si="53"/>
        <v>0</v>
      </c>
      <c r="V192" s="41"/>
    </row>
    <row r="193" spans="1:22" ht="15" customHeight="1" outlineLevel="1">
      <c r="A193" s="386"/>
      <c r="B193" s="83" t="s">
        <v>42</v>
      </c>
      <c r="C193" s="136"/>
      <c r="D193" s="49"/>
      <c r="E193" s="50"/>
      <c r="F193" s="50"/>
      <c r="G193" s="51"/>
      <c r="H193" s="187" t="s">
        <v>154</v>
      </c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11">
        <f t="shared" si="53"/>
        <v>0</v>
      </c>
      <c r="V193" s="41"/>
    </row>
    <row r="194" spans="1:22" ht="15" customHeight="1" outlineLevel="1">
      <c r="A194" s="386"/>
      <c r="B194" s="83" t="s">
        <v>5</v>
      </c>
      <c r="C194" s="136"/>
      <c r="D194" s="49"/>
      <c r="E194" s="50"/>
      <c r="F194" s="50"/>
      <c r="G194" s="51"/>
      <c r="H194" s="52" t="s">
        <v>155</v>
      </c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11">
        <f t="shared" si="53"/>
        <v>0</v>
      </c>
      <c r="V194" s="41"/>
    </row>
    <row r="195" spans="1:22" ht="15" customHeight="1" outlineLevel="1">
      <c r="A195" s="386"/>
      <c r="B195" s="83" t="s">
        <v>11</v>
      </c>
      <c r="C195" s="136"/>
      <c r="D195" s="49"/>
      <c r="E195" s="50"/>
      <c r="F195" s="50"/>
      <c r="G195" s="51"/>
      <c r="H195" s="52" t="s">
        <v>156</v>
      </c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11">
        <f t="shared" si="53"/>
        <v>0</v>
      </c>
      <c r="V195" s="41"/>
    </row>
    <row r="196" spans="1:22" ht="15" customHeight="1" outlineLevel="1">
      <c r="A196" s="386"/>
      <c r="B196" s="83" t="s">
        <v>8</v>
      </c>
      <c r="C196" s="136"/>
      <c r="D196" s="49"/>
      <c r="E196" s="50"/>
      <c r="F196" s="50"/>
      <c r="G196" s="51"/>
      <c r="H196" s="52" t="s">
        <v>157</v>
      </c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11">
        <f t="shared" si="53"/>
        <v>0</v>
      </c>
      <c r="V196" s="41"/>
    </row>
    <row r="197" spans="1:22" ht="15" customHeight="1" outlineLevel="1">
      <c r="A197" s="386"/>
      <c r="B197" s="83" t="s">
        <v>10</v>
      </c>
      <c r="C197" s="136"/>
      <c r="D197" s="49"/>
      <c r="E197" s="50"/>
      <c r="F197" s="50"/>
      <c r="G197" s="51"/>
      <c r="H197" s="52" t="s">
        <v>158</v>
      </c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11">
        <f t="shared" si="53"/>
        <v>0</v>
      </c>
      <c r="V197" s="41"/>
    </row>
    <row r="198" spans="1:22" ht="15" customHeight="1" outlineLevel="1">
      <c r="A198" s="386"/>
      <c r="B198" s="83" t="s">
        <v>9</v>
      </c>
      <c r="C198" s="136"/>
      <c r="D198" s="49"/>
      <c r="E198" s="50"/>
      <c r="F198" s="50"/>
      <c r="G198" s="51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11">
        <f t="shared" si="53"/>
        <v>0</v>
      </c>
      <c r="V198" s="41"/>
    </row>
    <row r="199" spans="1:22" ht="15" customHeight="1" outlineLevel="1">
      <c r="A199" s="386"/>
      <c r="B199" s="83" t="s">
        <v>7</v>
      </c>
      <c r="C199" s="136"/>
      <c r="D199" s="49"/>
      <c r="E199" s="50"/>
      <c r="F199" s="50"/>
      <c r="G199" s="51"/>
      <c r="H199" s="52" t="s">
        <v>159</v>
      </c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11">
        <f t="shared" si="53"/>
        <v>0</v>
      </c>
      <c r="V199" s="41"/>
    </row>
    <row r="200" spans="1:22" ht="15" customHeight="1" outlineLevel="1">
      <c r="A200" s="386"/>
      <c r="B200" s="83" t="s">
        <v>43</v>
      </c>
      <c r="C200" s="136"/>
      <c r="D200" s="49"/>
      <c r="E200" s="50"/>
      <c r="F200" s="50"/>
      <c r="G200" s="51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11">
        <f t="shared" si="53"/>
        <v>0</v>
      </c>
      <c r="V200" s="41"/>
    </row>
    <row r="201" spans="1:22" ht="15" customHeight="1" outlineLevel="1">
      <c r="A201" s="386"/>
      <c r="B201" s="20" t="s">
        <v>18</v>
      </c>
      <c r="C201" s="146"/>
      <c r="D201" s="183">
        <f>SUM(D190:D200)</f>
        <v>0</v>
      </c>
      <c r="E201" s="184"/>
      <c r="F201" s="184"/>
      <c r="G201" s="109">
        <f t="shared" ref="G201:Q227" si="54">SUM(G190:G200)</f>
        <v>0</v>
      </c>
      <c r="H201" s="188"/>
      <c r="I201" s="10"/>
      <c r="J201" s="10">
        <f t="shared" si="54"/>
        <v>0</v>
      </c>
      <c r="K201" s="10"/>
      <c r="L201" s="10"/>
      <c r="M201" s="10">
        <f t="shared" si="54"/>
        <v>0</v>
      </c>
      <c r="N201" s="10"/>
      <c r="O201" s="10">
        <f t="shared" si="54"/>
        <v>0</v>
      </c>
      <c r="P201" s="10"/>
      <c r="Q201" s="10">
        <f t="shared" si="54"/>
        <v>0</v>
      </c>
      <c r="R201" s="10"/>
      <c r="S201" s="10">
        <f>SUM(S190:S200)</f>
        <v>0</v>
      </c>
      <c r="T201" s="10"/>
      <c r="U201" s="11">
        <f>SUM(U190:U200)</f>
        <v>0</v>
      </c>
      <c r="V201" s="41"/>
    </row>
    <row r="202" spans="1:22" ht="15" customHeight="1">
      <c r="A202" s="386">
        <v>14</v>
      </c>
      <c r="B202" s="396" t="s">
        <v>160</v>
      </c>
      <c r="C202" s="397"/>
      <c r="D202" s="397"/>
      <c r="E202" s="397"/>
      <c r="F202" s="397"/>
      <c r="G202" s="397"/>
      <c r="H202" s="397"/>
      <c r="I202" s="397"/>
      <c r="J202" s="397"/>
      <c r="K202" s="397"/>
      <c r="L202" s="397"/>
      <c r="M202" s="397"/>
      <c r="N202" s="397"/>
      <c r="O202" s="397"/>
      <c r="P202" s="397"/>
      <c r="Q202" s="397"/>
      <c r="R202" s="397"/>
      <c r="S202" s="397"/>
      <c r="T202" s="397"/>
      <c r="U202" s="398"/>
      <c r="V202" s="41"/>
    </row>
    <row r="203" spans="1:22" ht="15" customHeight="1">
      <c r="A203" s="386"/>
      <c r="B203" s="42" t="s">
        <v>161</v>
      </c>
      <c r="C203" s="63">
        <v>6355</v>
      </c>
      <c r="D203" s="44">
        <v>16269056</v>
      </c>
      <c r="E203" s="46">
        <v>8784</v>
      </c>
      <c r="F203" s="46">
        <f>E203*$V$6</f>
        <v>25666848</v>
      </c>
      <c r="G203" s="46">
        <v>8784</v>
      </c>
      <c r="H203" s="46"/>
      <c r="I203" s="114">
        <v>25666848</v>
      </c>
      <c r="J203" s="46"/>
      <c r="K203" s="87"/>
      <c r="L203" s="46"/>
      <c r="M203" s="88"/>
      <c r="N203" s="46"/>
      <c r="O203" s="88"/>
      <c r="P203" s="46"/>
      <c r="Q203" s="88"/>
      <c r="R203" s="46"/>
      <c r="S203" s="88"/>
      <c r="T203" s="46">
        <f t="shared" ref="T203:T213" si="55">SUM(J203,L203,N203,P203,R203)</f>
        <v>0</v>
      </c>
      <c r="U203" s="11">
        <f t="shared" ref="U203:U213" si="56">SUM(K203,M203,O203,Q203,S203)</f>
        <v>0</v>
      </c>
      <c r="V203" s="41">
        <f t="shared" si="51"/>
        <v>38.221872541306055</v>
      </c>
    </row>
    <row r="204" spans="1:22" ht="15" customHeight="1">
      <c r="A204" s="386"/>
      <c r="B204" s="95" t="s">
        <v>21</v>
      </c>
      <c r="C204" s="136"/>
      <c r="D204" s="49"/>
      <c r="E204" s="91">
        <v>272</v>
      </c>
      <c r="F204" s="91">
        <f t="shared" ref="F204:F213" si="57">E204*3048</f>
        <v>829056</v>
      </c>
      <c r="G204" s="72">
        <v>272</v>
      </c>
      <c r="H204" s="145" t="s">
        <v>72</v>
      </c>
      <c r="I204" s="54">
        <f t="shared" ref="I204:I213" si="58">G204*3048</f>
        <v>829056</v>
      </c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46">
        <f t="shared" si="55"/>
        <v>0</v>
      </c>
      <c r="U204" s="11">
        <f t="shared" si="56"/>
        <v>0</v>
      </c>
      <c r="V204" s="41"/>
    </row>
    <row r="205" spans="1:22" ht="15" customHeight="1">
      <c r="A205" s="386"/>
      <c r="B205" s="95" t="s">
        <v>22</v>
      </c>
      <c r="C205" s="136"/>
      <c r="D205" s="49"/>
      <c r="E205" s="91">
        <v>408</v>
      </c>
      <c r="F205" s="91">
        <f t="shared" si="57"/>
        <v>1243584</v>
      </c>
      <c r="G205" s="72">
        <v>408</v>
      </c>
      <c r="H205" s="54"/>
      <c r="I205" s="54">
        <f t="shared" si="58"/>
        <v>1243584</v>
      </c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46">
        <f t="shared" si="55"/>
        <v>0</v>
      </c>
      <c r="U205" s="11">
        <f t="shared" si="56"/>
        <v>0</v>
      </c>
      <c r="V205" s="41"/>
    </row>
    <row r="206" spans="1:22" ht="15" customHeight="1">
      <c r="A206" s="386"/>
      <c r="B206" s="95" t="s">
        <v>23</v>
      </c>
      <c r="C206" s="136"/>
      <c r="D206" s="49"/>
      <c r="E206" s="91">
        <v>192</v>
      </c>
      <c r="F206" s="91">
        <f t="shared" si="57"/>
        <v>585216</v>
      </c>
      <c r="G206" s="72">
        <v>192</v>
      </c>
      <c r="H206" s="145" t="s">
        <v>72</v>
      </c>
      <c r="I206" s="54">
        <f t="shared" si="58"/>
        <v>585216</v>
      </c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46">
        <f t="shared" si="55"/>
        <v>0</v>
      </c>
      <c r="U206" s="11">
        <f t="shared" si="56"/>
        <v>0</v>
      </c>
      <c r="V206" s="41"/>
    </row>
    <row r="207" spans="1:22" ht="15" customHeight="1">
      <c r="A207" s="386"/>
      <c r="B207" s="189" t="s">
        <v>105</v>
      </c>
      <c r="C207" s="190"/>
      <c r="D207" s="191"/>
      <c r="E207" s="91"/>
      <c r="F207" s="91">
        <f t="shared" si="57"/>
        <v>0</v>
      </c>
      <c r="G207" s="192"/>
      <c r="H207" s="192" t="s">
        <v>132</v>
      </c>
      <c r="I207" s="54">
        <f t="shared" si="58"/>
        <v>0</v>
      </c>
      <c r="J207" s="191"/>
      <c r="K207" s="191"/>
      <c r="L207" s="191"/>
      <c r="M207" s="191"/>
      <c r="N207" s="191"/>
      <c r="O207" s="191"/>
      <c r="P207" s="191"/>
      <c r="Q207" s="191"/>
      <c r="R207" s="191"/>
      <c r="S207" s="191"/>
      <c r="T207" s="179">
        <f t="shared" si="55"/>
        <v>0</v>
      </c>
      <c r="U207" s="11">
        <f t="shared" si="56"/>
        <v>0</v>
      </c>
      <c r="V207" s="41"/>
    </row>
    <row r="208" spans="1:22" ht="15" customHeight="1">
      <c r="A208" s="386"/>
      <c r="B208" s="189" t="s">
        <v>106</v>
      </c>
      <c r="C208" s="189"/>
      <c r="D208" s="179"/>
      <c r="E208" s="91"/>
      <c r="F208" s="91">
        <f t="shared" si="57"/>
        <v>0</v>
      </c>
      <c r="G208" s="192"/>
      <c r="H208" s="162" t="s">
        <v>72</v>
      </c>
      <c r="I208" s="54">
        <f t="shared" si="58"/>
        <v>0</v>
      </c>
      <c r="J208" s="179"/>
      <c r="K208" s="179"/>
      <c r="L208" s="179"/>
      <c r="M208" s="179"/>
      <c r="N208" s="179"/>
      <c r="O208" s="179"/>
      <c r="P208" s="179"/>
      <c r="Q208" s="179"/>
      <c r="R208" s="179"/>
      <c r="S208" s="179"/>
      <c r="T208" s="179">
        <f t="shared" si="55"/>
        <v>0</v>
      </c>
      <c r="U208" s="11">
        <f t="shared" si="56"/>
        <v>0</v>
      </c>
      <c r="V208" s="41"/>
    </row>
    <row r="209" spans="1:22" ht="15" customHeight="1">
      <c r="A209" s="386"/>
      <c r="B209" s="95" t="s">
        <v>25</v>
      </c>
      <c r="C209" s="136"/>
      <c r="D209" s="49"/>
      <c r="E209" s="91">
        <v>440</v>
      </c>
      <c r="F209" s="91">
        <f t="shared" si="57"/>
        <v>1341120</v>
      </c>
      <c r="G209" s="72">
        <v>440</v>
      </c>
      <c r="H209" s="145" t="s">
        <v>72</v>
      </c>
      <c r="I209" s="54">
        <f t="shared" si="58"/>
        <v>1341120</v>
      </c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46">
        <f t="shared" si="55"/>
        <v>0</v>
      </c>
      <c r="U209" s="11">
        <f t="shared" si="56"/>
        <v>0</v>
      </c>
      <c r="V209" s="41"/>
    </row>
    <row r="210" spans="1:22" ht="15" customHeight="1">
      <c r="A210" s="386"/>
      <c r="B210" s="95" t="s">
        <v>26</v>
      </c>
      <c r="C210" s="136"/>
      <c r="D210" s="49"/>
      <c r="E210" s="91">
        <v>152</v>
      </c>
      <c r="F210" s="91">
        <f t="shared" si="57"/>
        <v>463296</v>
      </c>
      <c r="G210" s="72">
        <v>152</v>
      </c>
      <c r="H210" s="145" t="s">
        <v>72</v>
      </c>
      <c r="I210" s="54">
        <f t="shared" si="58"/>
        <v>463296</v>
      </c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46">
        <f t="shared" si="55"/>
        <v>0</v>
      </c>
      <c r="U210" s="11">
        <f t="shared" si="56"/>
        <v>0</v>
      </c>
      <c r="V210" s="41"/>
    </row>
    <row r="211" spans="1:22" ht="15" customHeight="1">
      <c r="A211" s="386"/>
      <c r="B211" s="95" t="s">
        <v>27</v>
      </c>
      <c r="C211" s="136"/>
      <c r="D211" s="49"/>
      <c r="E211" s="91">
        <v>280</v>
      </c>
      <c r="F211" s="91">
        <f t="shared" si="57"/>
        <v>853440</v>
      </c>
      <c r="G211" s="72">
        <v>280</v>
      </c>
      <c r="H211" s="145" t="s">
        <v>72</v>
      </c>
      <c r="I211" s="54">
        <f t="shared" si="58"/>
        <v>853440</v>
      </c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46">
        <f t="shared" si="55"/>
        <v>0</v>
      </c>
      <c r="U211" s="11">
        <f t="shared" si="56"/>
        <v>0</v>
      </c>
      <c r="V211" s="41"/>
    </row>
    <row r="212" spans="1:22" ht="15" customHeight="1">
      <c r="A212" s="386"/>
      <c r="B212" s="95" t="s">
        <v>28</v>
      </c>
      <c r="C212" s="136"/>
      <c r="D212" s="49"/>
      <c r="E212" s="91">
        <v>296</v>
      </c>
      <c r="F212" s="91">
        <f t="shared" si="57"/>
        <v>902208</v>
      </c>
      <c r="G212" s="72">
        <v>296</v>
      </c>
      <c r="H212" s="54"/>
      <c r="I212" s="54">
        <f t="shared" si="58"/>
        <v>902208</v>
      </c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46">
        <f t="shared" si="55"/>
        <v>0</v>
      </c>
      <c r="U212" s="11">
        <f t="shared" si="56"/>
        <v>0</v>
      </c>
      <c r="V212" s="41"/>
    </row>
    <row r="213" spans="1:22" ht="15" customHeight="1">
      <c r="A213" s="386"/>
      <c r="B213" s="95" t="s">
        <v>29</v>
      </c>
      <c r="C213" s="136"/>
      <c r="D213" s="49"/>
      <c r="E213" s="91">
        <v>1040</v>
      </c>
      <c r="F213" s="91">
        <f t="shared" si="57"/>
        <v>3169920</v>
      </c>
      <c r="G213" s="72">
        <v>1040</v>
      </c>
      <c r="H213" s="145" t="s">
        <v>72</v>
      </c>
      <c r="I213" s="54">
        <f t="shared" si="58"/>
        <v>3169920</v>
      </c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46">
        <f t="shared" si="55"/>
        <v>0</v>
      </c>
      <c r="U213" s="11">
        <f t="shared" si="56"/>
        <v>0</v>
      </c>
      <c r="V213" s="41"/>
    </row>
    <row r="214" spans="1:22" s="75" customFormat="1" ht="15" customHeight="1">
      <c r="A214" s="386"/>
      <c r="B214" s="20" t="s">
        <v>18</v>
      </c>
      <c r="C214" s="193">
        <f>SUM(C203:C213)</f>
        <v>6355</v>
      </c>
      <c r="D214" s="11">
        <f>SUM(D203:D213)</f>
        <v>16269056</v>
      </c>
      <c r="E214" s="11">
        <f t="shared" ref="E214:F214" si="59">SUM(E203:E213)</f>
        <v>11864</v>
      </c>
      <c r="F214" s="11">
        <f t="shared" si="59"/>
        <v>35054688</v>
      </c>
      <c r="G214" s="158">
        <f t="shared" si="54"/>
        <v>11864</v>
      </c>
      <c r="H214" s="158">
        <f t="shared" ref="H214:I214" si="60">SUM(H203:H213)</f>
        <v>0</v>
      </c>
      <c r="I214" s="11">
        <f t="shared" si="60"/>
        <v>35054688</v>
      </c>
      <c r="J214" s="11">
        <f>SUM(J204:J213)</f>
        <v>0</v>
      </c>
      <c r="K214" s="11">
        <f t="shared" ref="K214:T227" si="61">SUM(K204:K213)</f>
        <v>0</v>
      </c>
      <c r="L214" s="11">
        <f t="shared" si="61"/>
        <v>0</v>
      </c>
      <c r="M214" s="11">
        <f t="shared" si="61"/>
        <v>0</v>
      </c>
      <c r="N214" s="11">
        <f t="shared" si="61"/>
        <v>0</v>
      </c>
      <c r="O214" s="11">
        <f t="shared" si="61"/>
        <v>0</v>
      </c>
      <c r="P214" s="11">
        <f t="shared" si="61"/>
        <v>0</v>
      </c>
      <c r="Q214" s="11">
        <f t="shared" si="61"/>
        <v>0</v>
      </c>
      <c r="R214" s="11">
        <f t="shared" si="61"/>
        <v>0</v>
      </c>
      <c r="S214" s="11">
        <f t="shared" si="61"/>
        <v>0</v>
      </c>
      <c r="T214" s="11">
        <f t="shared" si="61"/>
        <v>0</v>
      </c>
      <c r="U214" s="11">
        <f>SUM(U204:U213)</f>
        <v>0</v>
      </c>
      <c r="V214" s="41"/>
    </row>
    <row r="215" spans="1:22" ht="15" customHeight="1">
      <c r="A215" s="386">
        <v>14</v>
      </c>
      <c r="B215" s="396" t="s">
        <v>162</v>
      </c>
      <c r="C215" s="397"/>
      <c r="D215" s="397"/>
      <c r="E215" s="397"/>
      <c r="F215" s="397"/>
      <c r="G215" s="397"/>
      <c r="H215" s="397"/>
      <c r="I215" s="397"/>
      <c r="J215" s="397"/>
      <c r="K215" s="397"/>
      <c r="L215" s="397"/>
      <c r="M215" s="397"/>
      <c r="N215" s="397"/>
      <c r="O215" s="397"/>
      <c r="P215" s="397"/>
      <c r="Q215" s="397"/>
      <c r="R215" s="397"/>
      <c r="S215" s="397"/>
      <c r="T215" s="397"/>
      <c r="U215" s="398"/>
      <c r="V215" s="41"/>
    </row>
    <row r="216" spans="1:22" ht="15" customHeight="1">
      <c r="A216" s="386"/>
      <c r="B216" s="194" t="s">
        <v>163</v>
      </c>
      <c r="C216" s="193">
        <v>1560</v>
      </c>
      <c r="D216" s="49">
        <v>3850080</v>
      </c>
      <c r="E216" s="91">
        <v>1560</v>
      </c>
      <c r="F216" s="195">
        <f t="shared" ref="F216:F217" si="62">E216*$V$6</f>
        <v>4558320</v>
      </c>
      <c r="G216" s="72">
        <v>1560</v>
      </c>
      <c r="H216" s="196"/>
      <c r="I216" s="54">
        <v>4558320</v>
      </c>
      <c r="J216" s="196"/>
      <c r="K216" s="196"/>
      <c r="L216" s="196"/>
      <c r="M216" s="196"/>
      <c r="N216" s="196"/>
      <c r="O216" s="196"/>
      <c r="P216" s="196"/>
      <c r="Q216" s="196"/>
      <c r="R216" s="196"/>
      <c r="S216" s="196"/>
      <c r="T216" s="46">
        <f t="shared" ref="T216:T226" si="63">SUM(J216,L216,N216,P216,R216)</f>
        <v>0</v>
      </c>
      <c r="U216" s="11">
        <f t="shared" ref="U216:U226" si="64">SUM(K216,M216,O216,Q216,S216)</f>
        <v>0</v>
      </c>
      <c r="V216" s="41"/>
    </row>
    <row r="217" spans="1:22" ht="15" customHeight="1">
      <c r="A217" s="386"/>
      <c r="B217" s="189" t="s">
        <v>21</v>
      </c>
      <c r="C217" s="189"/>
      <c r="D217" s="189"/>
      <c r="E217" s="197"/>
      <c r="F217" s="197">
        <f t="shared" si="62"/>
        <v>0</v>
      </c>
      <c r="G217" s="189"/>
      <c r="H217" s="189" t="s">
        <v>72</v>
      </c>
      <c r="I217" s="189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46">
        <f t="shared" si="63"/>
        <v>0</v>
      </c>
      <c r="U217" s="11">
        <f t="shared" si="64"/>
        <v>0</v>
      </c>
      <c r="V217" s="41"/>
    </row>
    <row r="218" spans="1:22" ht="15" customHeight="1">
      <c r="A218" s="386"/>
      <c r="B218" s="95" t="s">
        <v>22</v>
      </c>
      <c r="C218" s="136"/>
      <c r="D218" s="49"/>
      <c r="E218" s="91">
        <v>200</v>
      </c>
      <c r="F218" s="195">
        <f t="shared" ref="F218:F226" si="65">E218*3048</f>
        <v>609600</v>
      </c>
      <c r="G218" s="72">
        <v>200</v>
      </c>
      <c r="H218" s="54"/>
      <c r="I218" s="54">
        <f t="shared" ref="I218:I226" si="66">G218*3048</f>
        <v>609600</v>
      </c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46">
        <f t="shared" si="63"/>
        <v>0</v>
      </c>
      <c r="U218" s="11">
        <f t="shared" si="64"/>
        <v>0</v>
      </c>
      <c r="V218" s="41"/>
    </row>
    <row r="219" spans="1:22" ht="15" customHeight="1">
      <c r="A219" s="386"/>
      <c r="B219" s="95" t="s">
        <v>23</v>
      </c>
      <c r="C219" s="136"/>
      <c r="D219" s="49"/>
      <c r="E219" s="91">
        <v>136</v>
      </c>
      <c r="F219" s="195">
        <f t="shared" si="65"/>
        <v>414528</v>
      </c>
      <c r="G219" s="72">
        <v>136</v>
      </c>
      <c r="H219" s="145" t="s">
        <v>72</v>
      </c>
      <c r="I219" s="54">
        <f t="shared" si="66"/>
        <v>414528</v>
      </c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46">
        <f t="shared" si="63"/>
        <v>0</v>
      </c>
      <c r="U219" s="11">
        <f t="shared" si="64"/>
        <v>0</v>
      </c>
      <c r="V219" s="41"/>
    </row>
    <row r="220" spans="1:22" ht="15" customHeight="1">
      <c r="A220" s="386"/>
      <c r="B220" s="189" t="s">
        <v>105</v>
      </c>
      <c r="C220" s="190"/>
      <c r="D220" s="191"/>
      <c r="E220" s="192"/>
      <c r="F220" s="195">
        <f t="shared" si="65"/>
        <v>0</v>
      </c>
      <c r="G220" s="197"/>
      <c r="H220" s="192" t="s">
        <v>132</v>
      </c>
      <c r="I220" s="54">
        <f t="shared" si="66"/>
        <v>0</v>
      </c>
      <c r="J220" s="191"/>
      <c r="K220" s="191"/>
      <c r="L220" s="191"/>
      <c r="M220" s="191"/>
      <c r="N220" s="191"/>
      <c r="O220" s="191"/>
      <c r="P220" s="191"/>
      <c r="Q220" s="191"/>
      <c r="R220" s="191"/>
      <c r="S220" s="191"/>
      <c r="T220" s="179">
        <f t="shared" si="63"/>
        <v>0</v>
      </c>
      <c r="U220" s="11">
        <f t="shared" si="64"/>
        <v>0</v>
      </c>
      <c r="V220" s="41"/>
    </row>
    <row r="221" spans="1:22" ht="15" customHeight="1">
      <c r="A221" s="386"/>
      <c r="B221" s="189" t="s">
        <v>106</v>
      </c>
      <c r="C221" s="189"/>
      <c r="D221" s="179"/>
      <c r="E221" s="192"/>
      <c r="F221" s="195">
        <f t="shared" si="65"/>
        <v>0</v>
      </c>
      <c r="G221" s="197"/>
      <c r="H221" s="162" t="s">
        <v>72</v>
      </c>
      <c r="I221" s="54">
        <f t="shared" si="66"/>
        <v>0</v>
      </c>
      <c r="J221" s="179"/>
      <c r="K221" s="179"/>
      <c r="L221" s="179"/>
      <c r="M221" s="179"/>
      <c r="N221" s="179"/>
      <c r="O221" s="179"/>
      <c r="P221" s="179"/>
      <c r="Q221" s="179"/>
      <c r="R221" s="179"/>
      <c r="S221" s="179"/>
      <c r="T221" s="179">
        <f t="shared" si="63"/>
        <v>0</v>
      </c>
      <c r="U221" s="11">
        <f t="shared" si="64"/>
        <v>0</v>
      </c>
      <c r="V221" s="41"/>
    </row>
    <row r="222" spans="1:22" ht="15" customHeight="1">
      <c r="A222" s="386"/>
      <c r="B222" s="95" t="s">
        <v>25</v>
      </c>
      <c r="C222" s="136"/>
      <c r="D222" s="49"/>
      <c r="E222" s="91">
        <v>312</v>
      </c>
      <c r="F222" s="195">
        <f t="shared" si="65"/>
        <v>950976</v>
      </c>
      <c r="G222" s="72">
        <v>312</v>
      </c>
      <c r="H222" s="145" t="s">
        <v>72</v>
      </c>
      <c r="I222" s="54">
        <f t="shared" si="66"/>
        <v>950976</v>
      </c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46">
        <f t="shared" si="63"/>
        <v>0</v>
      </c>
      <c r="U222" s="11">
        <f t="shared" si="64"/>
        <v>0</v>
      </c>
      <c r="V222" s="41"/>
    </row>
    <row r="223" spans="1:22" ht="15" customHeight="1">
      <c r="A223" s="386"/>
      <c r="B223" s="95" t="s">
        <v>26</v>
      </c>
      <c r="C223" s="136"/>
      <c r="D223" s="49"/>
      <c r="E223" s="91">
        <v>88</v>
      </c>
      <c r="F223" s="195">
        <f t="shared" si="65"/>
        <v>268224</v>
      </c>
      <c r="G223" s="72">
        <v>88</v>
      </c>
      <c r="H223" s="145" t="s">
        <v>72</v>
      </c>
      <c r="I223" s="54">
        <f t="shared" si="66"/>
        <v>268224</v>
      </c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46">
        <f t="shared" si="63"/>
        <v>0</v>
      </c>
      <c r="U223" s="11">
        <f t="shared" si="64"/>
        <v>0</v>
      </c>
      <c r="V223" s="41"/>
    </row>
    <row r="224" spans="1:22" ht="15" customHeight="1">
      <c r="A224" s="386"/>
      <c r="B224" s="95" t="s">
        <v>27</v>
      </c>
      <c r="C224" s="136"/>
      <c r="D224" s="49"/>
      <c r="E224" s="91">
        <v>144</v>
      </c>
      <c r="F224" s="195">
        <f t="shared" si="65"/>
        <v>438912</v>
      </c>
      <c r="G224" s="72">
        <v>144</v>
      </c>
      <c r="H224" s="145" t="s">
        <v>72</v>
      </c>
      <c r="I224" s="54">
        <f t="shared" si="66"/>
        <v>438912</v>
      </c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46">
        <f t="shared" si="63"/>
        <v>0</v>
      </c>
      <c r="U224" s="11">
        <f t="shared" si="64"/>
        <v>0</v>
      </c>
      <c r="V224" s="41"/>
    </row>
    <row r="225" spans="1:23" ht="15" customHeight="1">
      <c r="A225" s="386"/>
      <c r="B225" s="95" t="s">
        <v>28</v>
      </c>
      <c r="C225" s="136"/>
      <c r="D225" s="49"/>
      <c r="E225" s="91">
        <v>136</v>
      </c>
      <c r="F225" s="195">
        <f t="shared" si="65"/>
        <v>414528</v>
      </c>
      <c r="G225" s="72">
        <v>136</v>
      </c>
      <c r="H225" s="54"/>
      <c r="I225" s="54">
        <f t="shared" si="66"/>
        <v>414528</v>
      </c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46">
        <f t="shared" si="63"/>
        <v>0</v>
      </c>
      <c r="U225" s="11">
        <f t="shared" si="64"/>
        <v>0</v>
      </c>
      <c r="V225" s="41"/>
    </row>
    <row r="226" spans="1:23" ht="15" customHeight="1">
      <c r="A226" s="386"/>
      <c r="B226" s="95" t="s">
        <v>29</v>
      </c>
      <c r="C226" s="136"/>
      <c r="D226" s="49"/>
      <c r="E226" s="91">
        <v>544</v>
      </c>
      <c r="F226" s="195">
        <f t="shared" si="65"/>
        <v>1658112</v>
      </c>
      <c r="G226" s="72">
        <v>544</v>
      </c>
      <c r="H226" s="145" t="s">
        <v>72</v>
      </c>
      <c r="I226" s="54">
        <f t="shared" si="66"/>
        <v>1658112</v>
      </c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46">
        <f t="shared" si="63"/>
        <v>0</v>
      </c>
      <c r="U226" s="11">
        <f t="shared" si="64"/>
        <v>0</v>
      </c>
      <c r="V226" s="41"/>
    </row>
    <row r="227" spans="1:23" s="75" customFormat="1" ht="15" customHeight="1">
      <c r="A227" s="386"/>
      <c r="B227" s="20" t="s">
        <v>18</v>
      </c>
      <c r="C227" s="193">
        <f>SUM(C216:C226)</f>
        <v>1560</v>
      </c>
      <c r="D227" s="20">
        <f t="shared" ref="D227:F227" si="67">SUM(D216:D226)</f>
        <v>3850080</v>
      </c>
      <c r="E227" s="20">
        <f t="shared" si="67"/>
        <v>3120</v>
      </c>
      <c r="F227" s="20">
        <f t="shared" si="67"/>
        <v>9313200</v>
      </c>
      <c r="G227" s="158">
        <f t="shared" si="54"/>
        <v>3120</v>
      </c>
      <c r="H227" s="124"/>
      <c r="I227" s="198">
        <f>SUM(I216:I226)</f>
        <v>9313200</v>
      </c>
      <c r="J227" s="11">
        <f>SUM(J217:J226)</f>
        <v>0</v>
      </c>
      <c r="K227" s="11">
        <f t="shared" si="61"/>
        <v>0</v>
      </c>
      <c r="L227" s="11">
        <f t="shared" si="61"/>
        <v>0</v>
      </c>
      <c r="M227" s="11">
        <f t="shared" si="61"/>
        <v>0</v>
      </c>
      <c r="N227" s="11">
        <f t="shared" si="61"/>
        <v>0</v>
      </c>
      <c r="O227" s="11">
        <f t="shared" si="61"/>
        <v>0</v>
      </c>
      <c r="P227" s="11">
        <f t="shared" si="61"/>
        <v>0</v>
      </c>
      <c r="Q227" s="11">
        <f t="shared" si="61"/>
        <v>0</v>
      </c>
      <c r="R227" s="11">
        <f t="shared" si="61"/>
        <v>0</v>
      </c>
      <c r="S227" s="11">
        <f t="shared" si="61"/>
        <v>0</v>
      </c>
      <c r="T227" s="11">
        <f t="shared" si="61"/>
        <v>0</v>
      </c>
      <c r="U227" s="11">
        <f>SUM(U216:U226)</f>
        <v>0</v>
      </c>
      <c r="V227" s="41"/>
    </row>
    <row r="228" spans="1:23" ht="15.75">
      <c r="B228" s="394"/>
      <c r="W228" s="199">
        <f>E229-28078</f>
        <v>148078</v>
      </c>
    </row>
    <row r="229" spans="1:23" ht="24" customHeight="1">
      <c r="B229" s="395"/>
      <c r="C229" s="200">
        <f>C227+C214+C170+C114+C100+C81+C68+C54+C39+C26</f>
        <v>152317.81500988806</v>
      </c>
      <c r="D229" s="201">
        <f>D227+D214+D170+D114+D100+D81+D68+D54+D39+D26</f>
        <v>388640068</v>
      </c>
      <c r="E229" s="202">
        <f>E227+E214+E170+E114+E100+E81+E68+E54+E39+E26</f>
        <v>176156</v>
      </c>
      <c r="F229" s="203">
        <f>F227+F214+F170+F114+F100+F81+F68+F54+F39+F26</f>
        <v>520739884</v>
      </c>
      <c r="G229" s="204">
        <f>G227+G214+G170+G114+G100+G81+G68+G54+G39+G26</f>
        <v>176793</v>
      </c>
      <c r="H229" s="205"/>
      <c r="I229" s="206">
        <f>I227+I214+I170+I114+I100+I81+I68+I54+I39+I26</f>
        <v>521334202</v>
      </c>
      <c r="J229" s="207"/>
      <c r="K229" s="207"/>
      <c r="L229" s="207"/>
      <c r="M229" s="207"/>
      <c r="N229" s="207"/>
      <c r="O229" s="207"/>
      <c r="P229" s="207"/>
      <c r="Q229" s="207"/>
      <c r="R229" s="207"/>
      <c r="S229" s="207"/>
      <c r="T229" s="207"/>
      <c r="U229" s="207"/>
      <c r="V229" s="41">
        <f>(E229/C229)*100 -100</f>
        <v>15.650293426651658</v>
      </c>
      <c r="W229" s="41">
        <f>(F229/D229)*100 -100</f>
        <v>33.990271944888605</v>
      </c>
    </row>
    <row r="230" spans="1:23" ht="24" customHeight="1">
      <c r="V230" s="41">
        <f>(G229/E229)*100 -100</f>
        <v>0.36161129907581824</v>
      </c>
    </row>
  </sheetData>
  <mergeCells count="41">
    <mergeCell ref="B228:B229"/>
    <mergeCell ref="A189:A201"/>
    <mergeCell ref="B189:U189"/>
    <mergeCell ref="A202:A214"/>
    <mergeCell ref="B202:U202"/>
    <mergeCell ref="A215:A227"/>
    <mergeCell ref="B215:U215"/>
    <mergeCell ref="A152:A170"/>
    <mergeCell ref="B152:U152"/>
    <mergeCell ref="W153:W170"/>
    <mergeCell ref="A171:A188"/>
    <mergeCell ref="B171:U171"/>
    <mergeCell ref="A128:A139"/>
    <mergeCell ref="B128:U128"/>
    <mergeCell ref="W129:W139"/>
    <mergeCell ref="A140:A151"/>
    <mergeCell ref="B140:U140"/>
    <mergeCell ref="W143:W151"/>
    <mergeCell ref="A82:A100"/>
    <mergeCell ref="B82:U82"/>
    <mergeCell ref="A101:A114"/>
    <mergeCell ref="B101:U101"/>
    <mergeCell ref="A115:A127"/>
    <mergeCell ref="B115:U115"/>
    <mergeCell ref="A55:A68"/>
    <mergeCell ref="B55:U55"/>
    <mergeCell ref="W56:W57"/>
    <mergeCell ref="A69:A81"/>
    <mergeCell ref="B69:U69"/>
    <mergeCell ref="W70:W80"/>
    <mergeCell ref="W28:W38"/>
    <mergeCell ref="A40:A54"/>
    <mergeCell ref="B40:U40"/>
    <mergeCell ref="W43:W44"/>
    <mergeCell ref="W45:W53"/>
    <mergeCell ref="A5:U12"/>
    <mergeCell ref="A13:B13"/>
    <mergeCell ref="A14:A26"/>
    <mergeCell ref="B14:U14"/>
    <mergeCell ref="A27:A39"/>
    <mergeCell ref="B27:U27"/>
  </mergeCells>
  <pageMargins left="0.70866141732283472" right="0.70866141732283472" top="0.74803149606299213" bottom="0.74803149606299213" header="0.31496062992125984" footer="0.31496062992125984"/>
  <pageSetup paperSize="8" scale="47" fitToHeight="3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46"/>
  <sheetViews>
    <sheetView topLeftCell="A112" zoomScale="70" workbookViewId="0">
      <selection activeCell="A12" sqref="A12:B12"/>
    </sheetView>
  </sheetViews>
  <sheetFormatPr defaultColWidth="8.85546875" defaultRowHeight="13.5" customHeight="1"/>
  <cols>
    <col min="1" max="1" width="4.7109375" customWidth="1"/>
    <col min="2" max="2" width="65" customWidth="1"/>
    <col min="3" max="3" width="13.7109375" customWidth="1"/>
    <col min="4" max="4" width="14.42578125" bestFit="1" customWidth="1"/>
    <col min="5" max="5" width="15.85546875" customWidth="1"/>
    <col min="6" max="7" width="16.85546875" customWidth="1"/>
    <col min="8" max="8" width="14.7109375" bestFit="1" customWidth="1"/>
  </cols>
  <sheetData>
    <row r="1" spans="1:8" ht="13.5" customHeight="1">
      <c r="A1" s="427"/>
      <c r="B1" s="427"/>
      <c r="C1" s="427"/>
      <c r="D1" s="427"/>
      <c r="E1" s="427"/>
      <c r="F1" s="427"/>
      <c r="G1" s="427"/>
      <c r="H1" s="427"/>
    </row>
    <row r="2" spans="1:8" ht="13.5" customHeight="1">
      <c r="A2" s="2"/>
      <c r="B2" s="3"/>
      <c r="C2" s="3"/>
      <c r="D2" s="3"/>
      <c r="E2" s="3"/>
      <c r="F2" s="3"/>
      <c r="G2" s="3"/>
      <c r="H2" s="3"/>
    </row>
    <row r="3" spans="1:8" ht="13.5" customHeight="1">
      <c r="A3" s="2"/>
      <c r="B3" s="3"/>
      <c r="C3" s="3"/>
      <c r="D3" s="3"/>
      <c r="E3" s="3"/>
      <c r="F3" s="3"/>
      <c r="G3" s="3"/>
      <c r="H3" s="3"/>
    </row>
    <row r="4" spans="1:8" ht="13.5" customHeight="1">
      <c r="A4" s="364" t="s">
        <v>311</v>
      </c>
      <c r="B4" s="365"/>
      <c r="C4" s="365"/>
      <c r="D4" s="365"/>
      <c r="E4" s="365"/>
      <c r="F4" s="365"/>
      <c r="G4" s="365"/>
      <c r="H4" s="365"/>
    </row>
    <row r="5" spans="1:8" ht="13.5" customHeight="1">
      <c r="A5" s="365"/>
      <c r="B5" s="365"/>
      <c r="C5" s="365"/>
      <c r="D5" s="365"/>
      <c r="E5" s="365"/>
      <c r="F5" s="365"/>
      <c r="G5" s="365"/>
      <c r="H5" s="365"/>
    </row>
    <row r="6" spans="1:8" ht="13.5" customHeight="1">
      <c r="A6" s="365"/>
      <c r="B6" s="365"/>
      <c r="C6" s="365"/>
      <c r="D6" s="365"/>
      <c r="E6" s="365"/>
      <c r="F6" s="365"/>
      <c r="G6" s="365"/>
      <c r="H6" s="365"/>
    </row>
    <row r="7" spans="1:8" ht="13.5" customHeight="1">
      <c r="A7" s="365"/>
      <c r="B7" s="365"/>
      <c r="C7" s="365"/>
      <c r="D7" s="365"/>
      <c r="E7" s="365"/>
      <c r="F7" s="365"/>
      <c r="G7" s="365"/>
      <c r="H7" s="365"/>
    </row>
    <row r="8" spans="1:8" ht="13.5" customHeight="1">
      <c r="A8" s="365"/>
      <c r="B8" s="365"/>
      <c r="C8" s="365"/>
      <c r="D8" s="365"/>
      <c r="E8" s="365"/>
      <c r="F8" s="365"/>
      <c r="G8" s="365"/>
      <c r="H8" s="365"/>
    </row>
    <row r="9" spans="1:8" ht="13.5" customHeight="1">
      <c r="A9" s="365"/>
      <c r="B9" s="365"/>
      <c r="C9" s="365"/>
      <c r="D9" s="365"/>
      <c r="E9" s="365"/>
      <c r="F9" s="365"/>
      <c r="G9" s="365"/>
      <c r="H9" s="365"/>
    </row>
    <row r="10" spans="1:8" ht="13.5" customHeight="1">
      <c r="A10" s="365"/>
      <c r="B10" s="365"/>
      <c r="C10" s="365"/>
      <c r="D10" s="365"/>
      <c r="E10" s="365"/>
      <c r="F10" s="365"/>
      <c r="G10" s="365"/>
      <c r="H10" s="365"/>
    </row>
    <row r="11" spans="1:8" ht="13.5" customHeight="1">
      <c r="A11" s="366"/>
      <c r="B11" s="366"/>
      <c r="C11" s="366"/>
      <c r="D11" s="366"/>
      <c r="E11" s="366"/>
      <c r="F11" s="366"/>
      <c r="G11" s="366"/>
      <c r="H11" s="366"/>
    </row>
    <row r="12" spans="1:8" ht="13.5" customHeight="1">
      <c r="A12" s="399"/>
      <c r="B12" s="400"/>
      <c r="C12" s="336">
        <v>2022</v>
      </c>
      <c r="D12" s="336">
        <v>2023</v>
      </c>
      <c r="E12" s="336">
        <v>2024</v>
      </c>
      <c r="F12" s="336">
        <v>2025</v>
      </c>
      <c r="G12" s="336">
        <v>2026</v>
      </c>
      <c r="H12" s="336" t="s">
        <v>0</v>
      </c>
    </row>
    <row r="13" spans="1:8" ht="20.25" customHeight="1">
      <c r="A13" s="445" t="s">
        <v>1</v>
      </c>
      <c r="B13" s="448" t="s">
        <v>312</v>
      </c>
      <c r="C13" s="449"/>
      <c r="D13" s="449"/>
      <c r="E13" s="449"/>
      <c r="F13" s="449"/>
      <c r="G13" s="449"/>
      <c r="H13" s="450"/>
    </row>
    <row r="14" spans="1:8" ht="15.75">
      <c r="A14" s="446"/>
      <c r="B14" s="337" t="s">
        <v>4</v>
      </c>
      <c r="C14" s="338"/>
      <c r="D14" s="338"/>
      <c r="E14" s="338"/>
      <c r="F14" s="338"/>
      <c r="G14" s="338"/>
      <c r="H14" s="339">
        <f t="shared" ref="H14:H43" si="0">SUM(C14:G14)</f>
        <v>0</v>
      </c>
    </row>
    <row r="15" spans="1:8" ht="15.75">
      <c r="A15" s="446"/>
      <c r="B15" s="337" t="s">
        <v>5</v>
      </c>
      <c r="C15" s="338"/>
      <c r="D15" s="338"/>
      <c r="E15" s="338"/>
      <c r="F15" s="338"/>
      <c r="G15" s="338"/>
      <c r="H15" s="339">
        <f t="shared" si="0"/>
        <v>0</v>
      </c>
    </row>
    <row r="16" spans="1:8" ht="15.75">
      <c r="A16" s="446"/>
      <c r="B16" s="337" t="s">
        <v>7</v>
      </c>
      <c r="C16" s="338"/>
      <c r="D16" s="338"/>
      <c r="E16" s="338"/>
      <c r="F16" s="338"/>
      <c r="G16" s="338"/>
      <c r="H16" s="339">
        <f t="shared" si="0"/>
        <v>0</v>
      </c>
    </row>
    <row r="17" spans="1:8" ht="15.75">
      <c r="A17" s="446"/>
      <c r="B17" s="337" t="s">
        <v>8</v>
      </c>
      <c r="C17" s="338"/>
      <c r="D17" s="338"/>
      <c r="E17" s="338"/>
      <c r="F17" s="338"/>
      <c r="G17" s="338"/>
      <c r="H17" s="339">
        <f t="shared" si="0"/>
        <v>0</v>
      </c>
    </row>
    <row r="18" spans="1:8" ht="15.75">
      <c r="A18" s="446"/>
      <c r="B18" s="337" t="s">
        <v>9</v>
      </c>
      <c r="C18" s="338"/>
      <c r="D18" s="338"/>
      <c r="E18" s="338"/>
      <c r="F18" s="338"/>
      <c r="G18" s="338"/>
      <c r="H18" s="339">
        <f t="shared" si="0"/>
        <v>0</v>
      </c>
    </row>
    <row r="19" spans="1:8" ht="15.75">
      <c r="A19" s="446"/>
      <c r="B19" s="337" t="s">
        <v>10</v>
      </c>
      <c r="C19" s="338"/>
      <c r="D19" s="338"/>
      <c r="E19" s="338"/>
      <c r="F19" s="338"/>
      <c r="G19" s="338"/>
      <c r="H19" s="339">
        <f t="shared" si="0"/>
        <v>0</v>
      </c>
    </row>
    <row r="20" spans="1:8" ht="15.75">
      <c r="A20" s="446"/>
      <c r="B20" s="337" t="s">
        <v>11</v>
      </c>
      <c r="C20" s="338"/>
      <c r="D20" s="338"/>
      <c r="E20" s="338"/>
      <c r="F20" s="338"/>
      <c r="G20" s="338"/>
      <c r="H20" s="339">
        <f t="shared" si="0"/>
        <v>0</v>
      </c>
    </row>
    <row r="21" spans="1:8" ht="15.75">
      <c r="A21" s="446"/>
      <c r="B21" s="337" t="s">
        <v>12</v>
      </c>
      <c r="C21" s="338"/>
      <c r="D21" s="338"/>
      <c r="E21" s="338"/>
      <c r="F21" s="338"/>
      <c r="G21" s="338"/>
      <c r="H21" s="339">
        <f t="shared" si="0"/>
        <v>0</v>
      </c>
    </row>
    <row r="22" spans="1:8" ht="15.75">
      <c r="A22" s="446"/>
      <c r="B22" s="337" t="s">
        <v>13</v>
      </c>
      <c r="C22" s="338"/>
      <c r="D22" s="338"/>
      <c r="E22" s="338"/>
      <c r="F22" s="338"/>
      <c r="G22" s="338"/>
      <c r="H22" s="339">
        <f t="shared" si="0"/>
        <v>0</v>
      </c>
    </row>
    <row r="23" spans="1:8" ht="15.75">
      <c r="A23" s="446"/>
      <c r="B23" s="337" t="s">
        <v>14</v>
      </c>
      <c r="C23" s="338"/>
      <c r="D23" s="338"/>
      <c r="E23" s="338"/>
      <c r="F23" s="338"/>
      <c r="G23" s="338"/>
      <c r="H23" s="340">
        <f t="shared" si="0"/>
        <v>0</v>
      </c>
    </row>
    <row r="24" spans="1:8" ht="15.75">
      <c r="A24" s="446"/>
      <c r="B24" s="337" t="s">
        <v>108</v>
      </c>
      <c r="C24" s="338">
        <v>4498</v>
      </c>
      <c r="D24" s="338">
        <v>725.41666666666663</v>
      </c>
      <c r="E24" s="338"/>
      <c r="F24" s="338"/>
      <c r="G24" s="338"/>
      <c r="H24" s="340">
        <f t="shared" si="0"/>
        <v>5223.416666666667</v>
      </c>
    </row>
    <row r="25" spans="1:8" ht="15.75">
      <c r="A25" s="446"/>
      <c r="B25" s="337" t="s">
        <v>168</v>
      </c>
      <c r="C25" s="341">
        <v>5456</v>
      </c>
      <c r="D25" s="341">
        <v>880</v>
      </c>
      <c r="E25" s="341"/>
      <c r="F25" s="341"/>
      <c r="G25" s="341"/>
      <c r="H25" s="340">
        <f t="shared" si="0"/>
        <v>6336</v>
      </c>
    </row>
    <row r="26" spans="1:8" ht="15.75">
      <c r="A26" s="447"/>
      <c r="B26" s="278" t="s">
        <v>18</v>
      </c>
      <c r="C26" s="342">
        <f>SUM(C14:C25)</f>
        <v>9954</v>
      </c>
      <c r="D26" s="342">
        <f>SUM(D14:D25)</f>
        <v>1605.4166666666665</v>
      </c>
      <c r="E26" s="342">
        <f>SUM(E14:E25)</f>
        <v>0</v>
      </c>
      <c r="F26" s="342">
        <f>SUM(F14:F25)</f>
        <v>0</v>
      </c>
      <c r="G26" s="342">
        <f>SUM(G14:G25)</f>
        <v>0</v>
      </c>
      <c r="H26" s="339">
        <f t="shared" si="0"/>
        <v>11559.416666666666</v>
      </c>
    </row>
    <row r="27" spans="1:8" ht="20.25" customHeight="1">
      <c r="A27" s="445">
        <v>2</v>
      </c>
      <c r="B27" s="448" t="s">
        <v>313</v>
      </c>
      <c r="C27" s="449"/>
      <c r="D27" s="449"/>
      <c r="E27" s="449"/>
      <c r="F27" s="449"/>
      <c r="G27" s="449"/>
      <c r="H27" s="450"/>
    </row>
    <row r="28" spans="1:8" ht="15.75">
      <c r="A28" s="446"/>
      <c r="B28" s="337" t="s">
        <v>4</v>
      </c>
      <c r="C28" s="338"/>
      <c r="D28" s="338">
        <v>518.15644972202313</v>
      </c>
      <c r="E28" s="338"/>
      <c r="F28" s="338"/>
      <c r="G28" s="338"/>
      <c r="H28" s="340">
        <f t="shared" si="0"/>
        <v>518.15644972202313</v>
      </c>
    </row>
    <row r="29" spans="1:8" ht="15.75">
      <c r="A29" s="446"/>
      <c r="B29" s="337" t="s">
        <v>5</v>
      </c>
      <c r="C29" s="338"/>
      <c r="D29" s="338">
        <v>546.73455205216135</v>
      </c>
      <c r="E29" s="338"/>
      <c r="F29" s="338"/>
      <c r="G29" s="338"/>
      <c r="H29" s="340">
        <f t="shared" si="0"/>
        <v>546.73455205216135</v>
      </c>
    </row>
    <row r="30" spans="1:8" ht="15.75">
      <c r="A30" s="446"/>
      <c r="B30" s="337" t="s">
        <v>7</v>
      </c>
      <c r="C30" s="338"/>
      <c r="D30" s="338">
        <v>180.35368523892302</v>
      </c>
      <c r="E30" s="338"/>
      <c r="F30" s="338"/>
      <c r="G30" s="338"/>
      <c r="H30" s="340">
        <f t="shared" si="0"/>
        <v>180.35368523892302</v>
      </c>
    </row>
    <row r="31" spans="1:8" ht="15.75">
      <c r="A31" s="446"/>
      <c r="B31" s="337" t="s">
        <v>8</v>
      </c>
      <c r="C31" s="338"/>
      <c r="D31" s="338">
        <v>236.1775192487319</v>
      </c>
      <c r="E31" s="338"/>
      <c r="F31" s="338"/>
      <c r="G31" s="338"/>
      <c r="H31" s="340">
        <f t="shared" si="0"/>
        <v>236.1775192487319</v>
      </c>
    </row>
    <row r="32" spans="1:8" ht="15.75">
      <c r="A32" s="446"/>
      <c r="B32" s="337" t="s">
        <v>9</v>
      </c>
      <c r="C32" s="338"/>
      <c r="D32" s="338">
        <v>347.0911352882033</v>
      </c>
      <c r="E32" s="338"/>
      <c r="F32" s="338"/>
      <c r="G32" s="338"/>
      <c r="H32" s="340">
        <f t="shared" si="0"/>
        <v>347.0911352882033</v>
      </c>
    </row>
    <row r="33" spans="1:8" ht="15.75">
      <c r="A33" s="446"/>
      <c r="B33" s="337" t="s">
        <v>10</v>
      </c>
      <c r="C33" s="338"/>
      <c r="D33" s="338">
        <v>336.48755551548408</v>
      </c>
      <c r="E33" s="338"/>
      <c r="F33" s="338"/>
      <c r="G33" s="338"/>
      <c r="H33" s="340">
        <f t="shared" si="0"/>
        <v>336.48755551548408</v>
      </c>
    </row>
    <row r="34" spans="1:8" ht="15.75">
      <c r="A34" s="446"/>
      <c r="B34" s="337" t="s">
        <v>11</v>
      </c>
      <c r="C34" s="338"/>
      <c r="D34" s="338">
        <v>339.26774813741974</v>
      </c>
      <c r="E34" s="338"/>
      <c r="F34" s="338"/>
      <c r="G34" s="338"/>
      <c r="H34" s="340">
        <f t="shared" si="0"/>
        <v>339.26774813741974</v>
      </c>
    </row>
    <row r="35" spans="1:8" ht="15.75">
      <c r="A35" s="446"/>
      <c r="B35" s="337" t="s">
        <v>12</v>
      </c>
      <c r="C35" s="338"/>
      <c r="D35" s="338">
        <v>721.47090646320589</v>
      </c>
      <c r="E35" s="338"/>
      <c r="F35" s="338"/>
      <c r="G35" s="338"/>
      <c r="H35" s="340">
        <f t="shared" si="0"/>
        <v>721.47090646320589</v>
      </c>
    </row>
    <row r="36" spans="1:8" ht="15.75">
      <c r="A36" s="446"/>
      <c r="B36" s="337" t="s">
        <v>13</v>
      </c>
      <c r="C36" s="338"/>
      <c r="D36" s="338">
        <v>1071.9233913608145</v>
      </c>
      <c r="E36" s="338"/>
      <c r="F36" s="338"/>
      <c r="G36" s="338"/>
      <c r="H36" s="340">
        <f t="shared" si="0"/>
        <v>1071.9233913608145</v>
      </c>
    </row>
    <row r="37" spans="1:8" ht="15.75">
      <c r="A37" s="446"/>
      <c r="B37" s="337" t="s">
        <v>14</v>
      </c>
      <c r="C37" s="338"/>
      <c r="D37" s="338">
        <v>509.99606952615648</v>
      </c>
      <c r="E37" s="338"/>
      <c r="F37" s="338"/>
      <c r="G37" s="338"/>
      <c r="H37" s="340">
        <f t="shared" si="0"/>
        <v>509.99606952615648</v>
      </c>
    </row>
    <row r="38" spans="1:8" ht="15.75">
      <c r="A38" s="446"/>
      <c r="B38" s="337" t="s">
        <v>108</v>
      </c>
      <c r="C38" s="338"/>
      <c r="D38" s="338">
        <v>6419.0505434314946</v>
      </c>
      <c r="E38" s="338"/>
      <c r="F38" s="338"/>
      <c r="G38" s="338"/>
      <c r="H38" s="340">
        <f t="shared" si="0"/>
        <v>6419.0505434314946</v>
      </c>
    </row>
    <row r="39" spans="1:8" ht="15.75">
      <c r="A39" s="446"/>
      <c r="B39" s="337" t="s">
        <v>30</v>
      </c>
      <c r="C39" s="341"/>
      <c r="D39" s="341">
        <v>123.12961388183174</v>
      </c>
      <c r="E39" s="341"/>
      <c r="F39" s="341"/>
      <c r="G39" s="341"/>
      <c r="H39" s="340">
        <f t="shared" si="0"/>
        <v>123.12961388183174</v>
      </c>
    </row>
    <row r="40" spans="1:8" ht="15.75">
      <c r="A40" s="446"/>
      <c r="B40" s="337" t="s">
        <v>31</v>
      </c>
      <c r="C40" s="341"/>
      <c r="D40" s="341">
        <v>336.63545507507405</v>
      </c>
      <c r="E40" s="341"/>
      <c r="F40" s="341"/>
      <c r="G40" s="341"/>
      <c r="H40" s="340">
        <f t="shared" si="0"/>
        <v>336.63545507507405</v>
      </c>
    </row>
    <row r="41" spans="1:8" ht="30">
      <c r="A41" s="446"/>
      <c r="B41" s="337" t="s">
        <v>32</v>
      </c>
      <c r="C41" s="341"/>
      <c r="D41" s="341">
        <v>102.29248588741125</v>
      </c>
      <c r="E41" s="341"/>
      <c r="F41" s="341"/>
      <c r="G41" s="341"/>
      <c r="H41" s="340">
        <f t="shared" si="0"/>
        <v>102.29248588741125</v>
      </c>
    </row>
    <row r="42" spans="1:8" ht="15.75">
      <c r="A42" s="446"/>
      <c r="B42" s="337" t="s">
        <v>33</v>
      </c>
      <c r="C42" s="341"/>
      <c r="D42" s="341">
        <v>4.557255962170915</v>
      </c>
      <c r="E42" s="341"/>
      <c r="F42" s="341"/>
      <c r="G42" s="341"/>
      <c r="H42" s="340">
        <f t="shared" si="0"/>
        <v>4.557255962170915</v>
      </c>
    </row>
    <row r="43" spans="1:8" ht="15.75">
      <c r="A43" s="446"/>
      <c r="B43" s="337" t="s">
        <v>314</v>
      </c>
      <c r="C43" s="341"/>
      <c r="D43" s="341">
        <v>24.2646395084925</v>
      </c>
      <c r="E43" s="341"/>
      <c r="F43" s="341"/>
      <c r="G43" s="341"/>
      <c r="H43" s="340">
        <f t="shared" si="0"/>
        <v>24.2646395084925</v>
      </c>
    </row>
    <row r="44" spans="1:8" ht="15.75">
      <c r="A44" s="447"/>
      <c r="B44" s="278" t="s">
        <v>18</v>
      </c>
      <c r="C44" s="343">
        <f t="shared" ref="C44:H44" si="1">SUM(C28:C43)</f>
        <v>0</v>
      </c>
      <c r="D44" s="343">
        <f t="shared" si="1"/>
        <v>11817.5890062996</v>
      </c>
      <c r="E44" s="343">
        <f t="shared" si="1"/>
        <v>0</v>
      </c>
      <c r="F44" s="343">
        <f t="shared" si="1"/>
        <v>0</v>
      </c>
      <c r="G44" s="343">
        <f t="shared" si="1"/>
        <v>0</v>
      </c>
      <c r="H44" s="343">
        <f t="shared" si="1"/>
        <v>11817.5890062996</v>
      </c>
    </row>
    <row r="45" spans="1:8" ht="20.25" customHeight="1">
      <c r="A45" s="445">
        <v>2</v>
      </c>
      <c r="B45" s="448" t="s">
        <v>315</v>
      </c>
      <c r="C45" s="449"/>
      <c r="D45" s="449"/>
      <c r="E45" s="449"/>
      <c r="F45" s="449"/>
      <c r="G45" s="449"/>
      <c r="H45" s="450"/>
    </row>
    <row r="46" spans="1:8" ht="15.75">
      <c r="A46" s="446"/>
      <c r="B46" s="337" t="s">
        <v>4</v>
      </c>
      <c r="C46" s="338"/>
      <c r="D46" s="338">
        <v>166.3</v>
      </c>
      <c r="E46" s="338">
        <v>166.3</v>
      </c>
      <c r="F46" s="338"/>
      <c r="G46" s="338"/>
      <c r="H46" s="340">
        <f t="shared" ref="H46:H62" si="2">SUM(C46:G46)</f>
        <v>332.6</v>
      </c>
    </row>
    <row r="47" spans="1:8" ht="15.75">
      <c r="A47" s="446"/>
      <c r="B47" s="337" t="s">
        <v>5</v>
      </c>
      <c r="C47" s="338"/>
      <c r="D47" s="338">
        <v>171.42206200661724</v>
      </c>
      <c r="E47" s="338">
        <v>171.42206200661724</v>
      </c>
      <c r="F47" s="338"/>
      <c r="G47" s="338"/>
      <c r="H47" s="340">
        <f t="shared" si="2"/>
        <v>342.84412401323448</v>
      </c>
    </row>
    <row r="48" spans="1:8" ht="15.75">
      <c r="A48" s="446"/>
      <c r="B48" s="337" t="s">
        <v>7</v>
      </c>
      <c r="C48" s="338"/>
      <c r="D48" s="338">
        <v>56.547735090280121</v>
      </c>
      <c r="E48" s="338">
        <v>56.547735090280121</v>
      </c>
      <c r="F48" s="338"/>
      <c r="G48" s="338"/>
      <c r="H48" s="340">
        <f t="shared" si="2"/>
        <v>113.09547018056024</v>
      </c>
    </row>
    <row r="49" spans="1:8" ht="15.75">
      <c r="A49" s="446"/>
      <c r="B49" s="337" t="s">
        <v>8</v>
      </c>
      <c r="C49" s="338"/>
      <c r="D49" s="338">
        <v>74.050628769045815</v>
      </c>
      <c r="E49" s="338">
        <v>74.050628769045815</v>
      </c>
      <c r="F49" s="338"/>
      <c r="G49" s="338"/>
      <c r="H49" s="340">
        <f t="shared" si="2"/>
        <v>148.10125753809163</v>
      </c>
    </row>
    <row r="50" spans="1:8" ht="15.75">
      <c r="A50" s="446"/>
      <c r="B50" s="337" t="s">
        <v>9</v>
      </c>
      <c r="C50" s="338"/>
      <c r="D50" s="338">
        <v>108.82626293142167</v>
      </c>
      <c r="E50" s="338">
        <v>108.82626293142167</v>
      </c>
      <c r="F50" s="338"/>
      <c r="G50" s="338"/>
      <c r="H50" s="340">
        <f t="shared" si="2"/>
        <v>217.65252586284333</v>
      </c>
    </row>
    <row r="51" spans="1:8" ht="15.75">
      <c r="A51" s="446"/>
      <c r="B51" s="337" t="s">
        <v>10</v>
      </c>
      <c r="C51" s="338"/>
      <c r="D51" s="338">
        <v>105.50163765857488</v>
      </c>
      <c r="E51" s="338">
        <v>105.50163765857488</v>
      </c>
      <c r="F51" s="338"/>
      <c r="G51" s="338"/>
      <c r="H51" s="340">
        <f t="shared" si="2"/>
        <v>211.00327531714976</v>
      </c>
    </row>
    <row r="52" spans="1:8" ht="15.75">
      <c r="A52" s="446"/>
      <c r="B52" s="337" t="s">
        <v>11</v>
      </c>
      <c r="C52" s="338"/>
      <c r="D52" s="338">
        <v>106.37333371334024</v>
      </c>
      <c r="E52" s="338">
        <v>106.37333371334024</v>
      </c>
      <c r="F52" s="338"/>
      <c r="G52" s="338"/>
      <c r="H52" s="340">
        <f t="shared" si="2"/>
        <v>212.74666742668049</v>
      </c>
    </row>
    <row r="53" spans="1:8" ht="15.75">
      <c r="A53" s="446"/>
      <c r="B53" s="337" t="s">
        <v>12</v>
      </c>
      <c r="C53" s="338"/>
      <c r="D53" s="338">
        <v>226.20855038242883</v>
      </c>
      <c r="E53" s="338">
        <v>226.20855038242883</v>
      </c>
      <c r="F53" s="338"/>
      <c r="G53" s="338"/>
      <c r="H53" s="340">
        <f t="shared" si="2"/>
        <v>452.41710076485765</v>
      </c>
    </row>
    <row r="54" spans="1:8" ht="15.75">
      <c r="A54" s="446"/>
      <c r="B54" s="337" t="s">
        <v>13</v>
      </c>
      <c r="C54" s="338"/>
      <c r="D54" s="338">
        <v>336.08872417243191</v>
      </c>
      <c r="E54" s="338">
        <v>336.08872417243191</v>
      </c>
      <c r="F54" s="338"/>
      <c r="G54" s="338"/>
      <c r="H54" s="340">
        <f t="shared" si="2"/>
        <v>672.17744834486382</v>
      </c>
    </row>
    <row r="55" spans="1:8" ht="15.75">
      <c r="A55" s="446"/>
      <c r="B55" s="337" t="s">
        <v>14</v>
      </c>
      <c r="C55" s="338"/>
      <c r="D55" s="338">
        <v>159.90315140189475</v>
      </c>
      <c r="E55" s="338">
        <v>159.90315140189475</v>
      </c>
      <c r="F55" s="338"/>
      <c r="G55" s="338"/>
      <c r="H55" s="340">
        <f t="shared" si="2"/>
        <v>319.80630280378949</v>
      </c>
    </row>
    <row r="56" spans="1:8" ht="15.75">
      <c r="A56" s="446"/>
      <c r="B56" s="337" t="s">
        <v>108</v>
      </c>
      <c r="C56" s="338"/>
      <c r="D56" s="338">
        <v>1620.2550000000001</v>
      </c>
      <c r="E56" s="338">
        <v>1620.2550000000001</v>
      </c>
      <c r="F56" s="338"/>
      <c r="G56" s="338"/>
      <c r="H56" s="340">
        <f t="shared" si="2"/>
        <v>3240.51</v>
      </c>
    </row>
    <row r="57" spans="1:8" ht="15.75">
      <c r="A57" s="446"/>
      <c r="B57" s="337" t="s">
        <v>168</v>
      </c>
      <c r="C57" s="341"/>
      <c r="D57" s="341">
        <v>1491.0719999999999</v>
      </c>
      <c r="E57" s="341">
        <v>1491.0719999999999</v>
      </c>
      <c r="F57" s="341"/>
      <c r="G57" s="341"/>
      <c r="H57" s="340"/>
    </row>
    <row r="58" spans="1:8" ht="15.75">
      <c r="A58" s="446"/>
      <c r="B58" s="337" t="s">
        <v>30</v>
      </c>
      <c r="C58" s="341"/>
      <c r="D58" s="341">
        <v>225.83253776975923</v>
      </c>
      <c r="E58" s="341">
        <v>225.83253776975923</v>
      </c>
      <c r="F58" s="341"/>
      <c r="G58" s="341"/>
      <c r="H58" s="340">
        <f t="shared" si="2"/>
        <v>451.66507553951845</v>
      </c>
    </row>
    <row r="59" spans="1:8" ht="15.75">
      <c r="A59" s="446"/>
      <c r="B59" s="337" t="s">
        <v>31</v>
      </c>
      <c r="C59" s="341"/>
      <c r="D59" s="341">
        <v>337.24838514371118</v>
      </c>
      <c r="E59" s="341">
        <v>337.24838514371118</v>
      </c>
      <c r="F59" s="341"/>
      <c r="G59" s="341"/>
      <c r="H59" s="340">
        <f t="shared" si="2"/>
        <v>674.49677028742235</v>
      </c>
    </row>
    <row r="60" spans="1:8" ht="30">
      <c r="A60" s="446"/>
      <c r="B60" s="337" t="s">
        <v>32</v>
      </c>
      <c r="C60" s="341"/>
      <c r="D60" s="341">
        <v>288.04473991360703</v>
      </c>
      <c r="E60" s="341">
        <v>288.04473991360703</v>
      </c>
      <c r="F60" s="341"/>
      <c r="G60" s="341"/>
      <c r="H60" s="340">
        <f t="shared" si="2"/>
        <v>576.08947982721406</v>
      </c>
    </row>
    <row r="61" spans="1:8" ht="15.75">
      <c r="A61" s="446"/>
      <c r="B61" s="337" t="s">
        <v>33</v>
      </c>
      <c r="C61" s="341"/>
      <c r="D61" s="341">
        <v>4.565553600365523</v>
      </c>
      <c r="E61" s="341">
        <v>4.565553600365523</v>
      </c>
      <c r="F61" s="341"/>
      <c r="G61" s="341"/>
      <c r="H61" s="340">
        <f t="shared" si="2"/>
        <v>9.1311072007310461</v>
      </c>
    </row>
    <row r="62" spans="1:8" ht="15.75">
      <c r="A62" s="446"/>
      <c r="B62" s="337" t="s">
        <v>314</v>
      </c>
      <c r="C62" s="341"/>
      <c r="D62" s="341">
        <v>24.308819427556813</v>
      </c>
      <c r="E62" s="341">
        <v>24.308819427556813</v>
      </c>
      <c r="F62" s="341"/>
      <c r="G62" s="341"/>
      <c r="H62" s="340">
        <f t="shared" si="2"/>
        <v>48.617638855113626</v>
      </c>
    </row>
    <row r="63" spans="1:8" ht="15.75">
      <c r="A63" s="447"/>
      <c r="B63" s="278" t="s">
        <v>18</v>
      </c>
      <c r="C63" s="343">
        <f t="shared" ref="C63:H63" si="3">SUM(C46:C62)</f>
        <v>0</v>
      </c>
      <c r="D63" s="343">
        <f t="shared" si="3"/>
        <v>5502.5491219810356</v>
      </c>
      <c r="E63" s="343">
        <f t="shared" si="3"/>
        <v>5502.5491219810356</v>
      </c>
      <c r="F63" s="343">
        <f t="shared" si="3"/>
        <v>0</v>
      </c>
      <c r="G63" s="343">
        <f t="shared" si="3"/>
        <v>0</v>
      </c>
      <c r="H63" s="343">
        <f t="shared" si="3"/>
        <v>8022.9542439620709</v>
      </c>
    </row>
    <row r="64" spans="1:8" ht="13.5" customHeight="1">
      <c r="A64" s="445">
        <v>3</v>
      </c>
      <c r="B64" s="448"/>
      <c r="C64" s="449"/>
      <c r="D64" s="449"/>
      <c r="E64" s="449"/>
      <c r="F64" s="449"/>
      <c r="G64" s="449"/>
      <c r="H64" s="450"/>
    </row>
    <row r="65" spans="1:8" ht="15.75">
      <c r="A65" s="446"/>
      <c r="B65" s="344" t="s">
        <v>4</v>
      </c>
      <c r="C65" s="345"/>
      <c r="D65" s="345"/>
      <c r="E65" s="345"/>
      <c r="F65" s="345"/>
      <c r="G65" s="345"/>
      <c r="H65" s="346">
        <f t="shared" ref="H65:H75" si="4">SUM(C65:G65)</f>
        <v>0</v>
      </c>
    </row>
    <row r="66" spans="1:8" ht="15.75">
      <c r="A66" s="446"/>
      <c r="B66" s="344" t="s">
        <v>5</v>
      </c>
      <c r="C66" s="345"/>
      <c r="D66" s="345"/>
      <c r="E66" s="345"/>
      <c r="F66" s="345"/>
      <c r="G66" s="345"/>
      <c r="H66" s="346">
        <f t="shared" si="4"/>
        <v>0</v>
      </c>
    </row>
    <row r="67" spans="1:8" ht="15.75">
      <c r="A67" s="446"/>
      <c r="B67" s="344" t="s">
        <v>7</v>
      </c>
      <c r="C67" s="345"/>
      <c r="D67" s="345"/>
      <c r="E67" s="345"/>
      <c r="F67" s="345"/>
      <c r="G67" s="345"/>
      <c r="H67" s="346">
        <f t="shared" si="4"/>
        <v>0</v>
      </c>
    </row>
    <row r="68" spans="1:8" ht="15.75">
      <c r="A68" s="446"/>
      <c r="B68" s="344" t="s">
        <v>8</v>
      </c>
      <c r="C68" s="345"/>
      <c r="D68" s="345"/>
      <c r="E68" s="345"/>
      <c r="F68" s="345"/>
      <c r="G68" s="345"/>
      <c r="H68" s="346">
        <f t="shared" si="4"/>
        <v>0</v>
      </c>
    </row>
    <row r="69" spans="1:8" ht="15.75">
      <c r="A69" s="446"/>
      <c r="B69" s="344" t="s">
        <v>9</v>
      </c>
      <c r="C69" s="345"/>
      <c r="D69" s="345"/>
      <c r="E69" s="345"/>
      <c r="F69" s="345"/>
      <c r="G69" s="345"/>
      <c r="H69" s="346">
        <f t="shared" si="4"/>
        <v>0</v>
      </c>
    </row>
    <row r="70" spans="1:8" ht="15.75">
      <c r="A70" s="446"/>
      <c r="B70" s="344" t="s">
        <v>10</v>
      </c>
      <c r="C70" s="345"/>
      <c r="D70" s="345"/>
      <c r="E70" s="345"/>
      <c r="F70" s="345"/>
      <c r="G70" s="345"/>
      <c r="H70" s="346">
        <f t="shared" si="4"/>
        <v>0</v>
      </c>
    </row>
    <row r="71" spans="1:8" ht="15.75">
      <c r="A71" s="446"/>
      <c r="B71" s="344" t="s">
        <v>11</v>
      </c>
      <c r="C71" s="345"/>
      <c r="D71" s="345"/>
      <c r="E71" s="345"/>
      <c r="F71" s="345"/>
      <c r="G71" s="345"/>
      <c r="H71" s="346">
        <f t="shared" si="4"/>
        <v>0</v>
      </c>
    </row>
    <row r="72" spans="1:8" ht="15.75">
      <c r="A72" s="446"/>
      <c r="B72" s="344" t="s">
        <v>12</v>
      </c>
      <c r="C72" s="345"/>
      <c r="D72" s="345"/>
      <c r="E72" s="345"/>
      <c r="F72" s="345"/>
      <c r="G72" s="345"/>
      <c r="H72" s="346">
        <f t="shared" si="4"/>
        <v>0</v>
      </c>
    </row>
    <row r="73" spans="1:8" ht="15.75">
      <c r="A73" s="446"/>
      <c r="B73" s="344" t="s">
        <v>13</v>
      </c>
      <c r="C73" s="345"/>
      <c r="D73" s="345"/>
      <c r="E73" s="345"/>
      <c r="F73" s="345"/>
      <c r="G73" s="345"/>
      <c r="H73" s="346">
        <f t="shared" si="4"/>
        <v>0</v>
      </c>
    </row>
    <row r="74" spans="1:8" ht="15.75">
      <c r="A74" s="446"/>
      <c r="B74" s="344" t="s">
        <v>14</v>
      </c>
      <c r="C74" s="345"/>
      <c r="D74" s="345"/>
      <c r="E74" s="345"/>
      <c r="F74" s="345"/>
      <c r="G74" s="345"/>
      <c r="H74" s="346">
        <f t="shared" si="4"/>
        <v>0</v>
      </c>
    </row>
    <row r="75" spans="1:8" ht="15.75">
      <c r="A75" s="446"/>
      <c r="B75" s="344" t="s">
        <v>108</v>
      </c>
      <c r="C75" s="345"/>
      <c r="D75" s="345"/>
      <c r="E75" s="345"/>
      <c r="F75" s="345"/>
      <c r="G75" s="345"/>
      <c r="H75" s="346">
        <f t="shared" si="4"/>
        <v>0</v>
      </c>
    </row>
    <row r="76" spans="1:8" ht="13.5" customHeight="1">
      <c r="A76" s="447"/>
      <c r="B76" s="278" t="s">
        <v>18</v>
      </c>
      <c r="C76" s="347">
        <f t="shared" ref="C76:H76" si="5">SUM(C65:C75)</f>
        <v>0</v>
      </c>
      <c r="D76" s="347">
        <f t="shared" si="5"/>
        <v>0</v>
      </c>
      <c r="E76" s="347">
        <f t="shared" si="5"/>
        <v>0</v>
      </c>
      <c r="F76" s="347">
        <f t="shared" si="5"/>
        <v>0</v>
      </c>
      <c r="G76" s="347">
        <f t="shared" si="5"/>
        <v>0</v>
      </c>
      <c r="H76" s="347">
        <f t="shared" si="5"/>
        <v>0</v>
      </c>
    </row>
    <row r="77" spans="1:8" ht="22.5" customHeight="1">
      <c r="A77" s="445">
        <v>4</v>
      </c>
      <c r="B77" s="448" t="s">
        <v>316</v>
      </c>
      <c r="C77" s="449"/>
      <c r="D77" s="449"/>
      <c r="E77" s="449"/>
      <c r="F77" s="449"/>
      <c r="G77" s="449"/>
      <c r="H77" s="450"/>
    </row>
    <row r="78" spans="1:8" ht="13.5" customHeight="1">
      <c r="A78" s="446"/>
      <c r="B78" s="16" t="s">
        <v>4</v>
      </c>
      <c r="C78" s="348"/>
      <c r="D78" s="348"/>
      <c r="E78" s="348"/>
      <c r="F78" s="348"/>
      <c r="G78" s="348"/>
      <c r="H78" s="346"/>
    </row>
    <row r="79" spans="1:8" ht="13.5" customHeight="1">
      <c r="A79" s="446"/>
      <c r="B79" s="16" t="s">
        <v>5</v>
      </c>
      <c r="C79" s="349"/>
      <c r="D79" s="349"/>
      <c r="E79" s="349"/>
      <c r="F79" s="349"/>
      <c r="G79" s="349"/>
      <c r="H79" s="346"/>
    </row>
    <row r="80" spans="1:8" ht="13.5" customHeight="1">
      <c r="A80" s="446"/>
      <c r="B80" s="16" t="s">
        <v>7</v>
      </c>
      <c r="C80" s="349"/>
      <c r="D80" s="349"/>
      <c r="E80" s="349"/>
      <c r="F80" s="349"/>
      <c r="G80" s="349"/>
      <c r="H80" s="346"/>
    </row>
    <row r="81" spans="1:8" ht="13.5" customHeight="1">
      <c r="A81" s="446"/>
      <c r="B81" s="16" t="s">
        <v>8</v>
      </c>
      <c r="C81" s="349"/>
      <c r="D81" s="349"/>
      <c r="E81" s="349"/>
      <c r="F81" s="349"/>
      <c r="G81" s="349"/>
      <c r="H81" s="346"/>
    </row>
    <row r="82" spans="1:8" ht="13.5" customHeight="1">
      <c r="A82" s="446"/>
      <c r="B82" s="16" t="s">
        <v>9</v>
      </c>
      <c r="C82" s="349"/>
      <c r="D82" s="349"/>
      <c r="E82" s="349"/>
      <c r="F82" s="349"/>
      <c r="G82" s="349"/>
      <c r="H82" s="346"/>
    </row>
    <row r="83" spans="1:8" ht="13.5" customHeight="1">
      <c r="A83" s="446"/>
      <c r="B83" s="16" t="s">
        <v>10</v>
      </c>
      <c r="C83" s="349"/>
      <c r="D83" s="349"/>
      <c r="E83" s="349"/>
      <c r="F83" s="349"/>
      <c r="G83" s="349"/>
      <c r="H83" s="346"/>
    </row>
    <row r="84" spans="1:8" ht="13.5" customHeight="1">
      <c r="A84" s="446"/>
      <c r="B84" s="16" t="s">
        <v>11</v>
      </c>
      <c r="C84" s="349"/>
      <c r="D84" s="349"/>
      <c r="E84" s="349"/>
      <c r="F84" s="349"/>
      <c r="G84" s="349"/>
      <c r="H84" s="346"/>
    </row>
    <row r="85" spans="1:8" ht="13.5" customHeight="1">
      <c r="A85" s="446"/>
      <c r="B85" s="16" t="s">
        <v>12</v>
      </c>
      <c r="C85" s="349"/>
      <c r="D85" s="349"/>
      <c r="E85" s="349"/>
      <c r="F85" s="349"/>
      <c r="G85" s="349"/>
      <c r="H85" s="346"/>
    </row>
    <row r="86" spans="1:8" ht="13.5" customHeight="1">
      <c r="A86" s="446"/>
      <c r="B86" s="16" t="s">
        <v>13</v>
      </c>
      <c r="C86" s="349"/>
      <c r="D86" s="349"/>
      <c r="E86" s="349"/>
      <c r="F86" s="349"/>
      <c r="G86" s="349"/>
      <c r="H86" s="346"/>
    </row>
    <row r="87" spans="1:8" ht="13.5" customHeight="1">
      <c r="A87" s="446"/>
      <c r="B87" s="16" t="s">
        <v>14</v>
      </c>
      <c r="C87" s="349"/>
      <c r="D87" s="349"/>
      <c r="E87" s="349"/>
      <c r="F87" s="349"/>
      <c r="G87" s="349"/>
      <c r="H87" s="346"/>
    </row>
    <row r="88" spans="1:8" ht="15" customHeight="1">
      <c r="A88" s="446"/>
      <c r="B88" s="350"/>
      <c r="C88" s="346"/>
      <c r="D88" s="346"/>
      <c r="E88" s="346"/>
      <c r="F88" s="346"/>
      <c r="G88" s="346"/>
      <c r="H88" s="347"/>
    </row>
    <row r="89" spans="1:8" ht="21" customHeight="1">
      <c r="A89" s="372" t="s">
        <v>15</v>
      </c>
      <c r="B89" s="451" t="s">
        <v>317</v>
      </c>
      <c r="C89" s="451"/>
      <c r="D89" s="451"/>
      <c r="E89" s="451"/>
      <c r="F89" s="451"/>
      <c r="G89" s="451"/>
      <c r="H89" s="451"/>
    </row>
    <row r="90" spans="1:8" ht="13.5" customHeight="1">
      <c r="A90" s="372"/>
      <c r="B90" s="351"/>
      <c r="C90" s="352"/>
      <c r="D90" s="352"/>
      <c r="E90" s="352"/>
      <c r="F90" s="352"/>
      <c r="G90" s="352"/>
      <c r="H90" s="353"/>
    </row>
    <row r="91" spans="1:8" ht="13.5" customHeight="1">
      <c r="A91" s="372"/>
      <c r="B91" s="351"/>
      <c r="C91" s="352"/>
      <c r="D91" s="352"/>
      <c r="E91" s="352"/>
      <c r="F91" s="352"/>
      <c r="G91" s="352"/>
      <c r="H91" s="353"/>
    </row>
    <row r="92" spans="1:8" ht="13.5" customHeight="1">
      <c r="A92" s="372"/>
      <c r="B92" s="351"/>
      <c r="C92" s="352"/>
      <c r="D92" s="352"/>
      <c r="E92" s="352"/>
      <c r="F92" s="352"/>
      <c r="G92" s="352"/>
      <c r="H92" s="353"/>
    </row>
    <row r="93" spans="1:8" ht="13.5" customHeight="1">
      <c r="A93" s="372"/>
      <c r="B93" s="351"/>
      <c r="C93" s="352"/>
      <c r="D93" s="352"/>
      <c r="E93" s="352"/>
      <c r="F93" s="352"/>
      <c r="G93" s="352"/>
      <c r="H93" s="353"/>
    </row>
    <row r="94" spans="1:8" ht="13.5" customHeight="1">
      <c r="A94" s="372"/>
      <c r="B94" s="351"/>
      <c r="C94" s="352"/>
      <c r="D94" s="352"/>
      <c r="E94" s="352"/>
      <c r="F94" s="352"/>
      <c r="G94" s="352"/>
      <c r="H94" s="353"/>
    </row>
    <row r="95" spans="1:8" ht="13.5" customHeight="1">
      <c r="A95" s="372"/>
      <c r="B95" s="351"/>
      <c r="C95" s="352"/>
      <c r="D95" s="352"/>
      <c r="E95" s="352"/>
      <c r="F95" s="352"/>
      <c r="G95" s="352"/>
      <c r="H95" s="353"/>
    </row>
    <row r="96" spans="1:8" ht="13.5" customHeight="1">
      <c r="A96" s="372"/>
      <c r="B96" s="351"/>
      <c r="C96" s="352"/>
      <c r="D96" s="352"/>
      <c r="E96" s="352"/>
      <c r="F96" s="352"/>
      <c r="G96" s="352"/>
      <c r="H96" s="353"/>
    </row>
    <row r="97" spans="1:8" ht="13.5" customHeight="1">
      <c r="A97" s="372"/>
      <c r="B97" s="351"/>
      <c r="C97" s="352"/>
      <c r="D97" s="352"/>
      <c r="E97" s="352"/>
      <c r="F97" s="352"/>
      <c r="G97" s="352"/>
      <c r="H97" s="353"/>
    </row>
    <row r="98" spans="1:8" ht="13.5" customHeight="1">
      <c r="A98" s="372"/>
      <c r="B98" s="354"/>
      <c r="C98" s="355"/>
      <c r="D98" s="355"/>
      <c r="E98" s="355"/>
      <c r="F98" s="355"/>
      <c r="G98" s="355"/>
      <c r="H98" s="353"/>
    </row>
    <row r="99" spans="1:8" ht="21">
      <c r="A99" s="452" t="s">
        <v>17</v>
      </c>
      <c r="B99" s="455" t="s">
        <v>318</v>
      </c>
      <c r="C99" s="456"/>
      <c r="D99" s="456"/>
      <c r="E99" s="456"/>
      <c r="F99" s="456"/>
      <c r="G99" s="456"/>
      <c r="H99" s="457"/>
    </row>
    <row r="100" spans="1:8" ht="13.5" customHeight="1">
      <c r="A100" s="453"/>
      <c r="B100" s="351"/>
      <c r="C100" s="348"/>
      <c r="D100" s="348"/>
      <c r="E100" s="348"/>
      <c r="F100" s="348"/>
      <c r="G100" s="348"/>
      <c r="H100" s="346"/>
    </row>
    <row r="101" spans="1:8" ht="13.5" customHeight="1">
      <c r="A101" s="453"/>
      <c r="B101" s="351"/>
      <c r="C101" s="348"/>
      <c r="D101" s="348"/>
      <c r="E101" s="348"/>
      <c r="F101" s="348"/>
      <c r="G101" s="348"/>
      <c r="H101" s="346"/>
    </row>
    <row r="102" spans="1:8" ht="13.5" customHeight="1">
      <c r="A102" s="453"/>
      <c r="B102" s="351"/>
      <c r="C102" s="348"/>
      <c r="D102" s="348"/>
      <c r="E102" s="348"/>
      <c r="F102" s="348"/>
      <c r="G102" s="348"/>
      <c r="H102" s="346"/>
    </row>
    <row r="103" spans="1:8" ht="13.5" customHeight="1">
      <c r="A103" s="453"/>
      <c r="B103" s="351"/>
      <c r="C103" s="348"/>
      <c r="D103" s="348"/>
      <c r="E103" s="348"/>
      <c r="F103" s="348"/>
      <c r="G103" s="348"/>
      <c r="H103" s="346"/>
    </row>
    <row r="104" spans="1:8" ht="13.5" customHeight="1">
      <c r="A104" s="453"/>
      <c r="B104" s="351"/>
      <c r="C104" s="348"/>
      <c r="D104" s="348"/>
      <c r="E104" s="348"/>
      <c r="F104" s="348"/>
      <c r="G104" s="348"/>
      <c r="H104" s="346"/>
    </row>
    <row r="105" spans="1:8" ht="13.5" customHeight="1">
      <c r="A105" s="453"/>
      <c r="B105" s="351"/>
      <c r="C105" s="348"/>
      <c r="D105" s="348"/>
      <c r="E105" s="348"/>
      <c r="F105" s="348"/>
      <c r="G105" s="348"/>
      <c r="H105" s="346"/>
    </row>
    <row r="106" spans="1:8" ht="13.5" customHeight="1">
      <c r="A106" s="453"/>
      <c r="B106" s="351"/>
      <c r="C106" s="348"/>
      <c r="D106" s="348"/>
      <c r="E106" s="348"/>
      <c r="F106" s="348"/>
      <c r="G106" s="348"/>
      <c r="H106" s="346"/>
    </row>
    <row r="107" spans="1:8" ht="13.5" customHeight="1">
      <c r="A107" s="453"/>
      <c r="B107" s="351"/>
      <c r="C107" s="348"/>
      <c r="D107" s="348"/>
      <c r="E107" s="348"/>
      <c r="F107" s="348"/>
      <c r="G107" s="348"/>
      <c r="H107" s="346"/>
    </row>
    <row r="108" spans="1:8" ht="13.5" customHeight="1">
      <c r="A108" s="453"/>
      <c r="B108" s="351"/>
      <c r="C108" s="348"/>
      <c r="D108" s="348"/>
      <c r="E108" s="348"/>
      <c r="F108" s="348"/>
      <c r="G108" s="348"/>
      <c r="H108" s="346"/>
    </row>
    <row r="109" spans="1:8" ht="13.5" customHeight="1">
      <c r="A109" s="453"/>
      <c r="B109" s="351"/>
      <c r="C109" s="348"/>
      <c r="D109" s="348"/>
      <c r="E109" s="348"/>
      <c r="F109" s="348"/>
      <c r="G109" s="348"/>
      <c r="H109" s="346"/>
    </row>
    <row r="110" spans="1:8" ht="13.5" customHeight="1">
      <c r="A110" s="454"/>
      <c r="B110" s="350"/>
      <c r="C110" s="346"/>
      <c r="D110" s="346"/>
      <c r="E110" s="346"/>
      <c r="F110" s="346"/>
      <c r="G110" s="346"/>
      <c r="H110" s="347"/>
    </row>
    <row r="111" spans="1:8" ht="21">
      <c r="A111" s="452" t="s">
        <v>17</v>
      </c>
      <c r="B111" s="455" t="s">
        <v>319</v>
      </c>
      <c r="C111" s="456"/>
      <c r="D111" s="456"/>
      <c r="E111" s="456"/>
      <c r="F111" s="456"/>
      <c r="G111" s="456"/>
      <c r="H111" s="457"/>
    </row>
    <row r="112" spans="1:8" ht="13.5" customHeight="1">
      <c r="A112" s="453"/>
      <c r="B112" s="351"/>
      <c r="C112" s="348"/>
      <c r="D112" s="348"/>
      <c r="E112" s="348"/>
      <c r="F112" s="348"/>
      <c r="G112" s="348"/>
      <c r="H112" s="346"/>
    </row>
    <row r="113" spans="1:8" ht="13.5" customHeight="1">
      <c r="A113" s="453"/>
      <c r="B113" s="351"/>
      <c r="C113" s="348"/>
      <c r="D113" s="348"/>
      <c r="E113" s="348"/>
      <c r="F113" s="348"/>
      <c r="G113" s="348"/>
      <c r="H113" s="346"/>
    </row>
    <row r="114" spans="1:8" ht="13.5" customHeight="1">
      <c r="A114" s="453"/>
      <c r="B114" s="351"/>
      <c r="C114" s="348"/>
      <c r="D114" s="348"/>
      <c r="E114" s="348"/>
      <c r="F114" s="348"/>
      <c r="G114" s="348"/>
      <c r="H114" s="346"/>
    </row>
    <row r="115" spans="1:8" ht="13.5" customHeight="1">
      <c r="A115" s="453"/>
      <c r="B115" s="351"/>
      <c r="C115" s="348"/>
      <c r="D115" s="348"/>
      <c r="E115" s="348"/>
      <c r="F115" s="348"/>
      <c r="G115" s="348"/>
      <c r="H115" s="346"/>
    </row>
    <row r="116" spans="1:8" ht="13.5" customHeight="1">
      <c r="A116" s="453"/>
      <c r="B116" s="351"/>
      <c r="C116" s="348"/>
      <c r="D116" s="348"/>
      <c r="E116" s="348"/>
      <c r="F116" s="348"/>
      <c r="G116" s="348"/>
      <c r="H116" s="346"/>
    </row>
    <row r="117" spans="1:8" ht="13.5" customHeight="1">
      <c r="A117" s="453"/>
      <c r="B117" s="351"/>
      <c r="C117" s="348"/>
      <c r="D117" s="348"/>
      <c r="E117" s="348"/>
      <c r="F117" s="348"/>
      <c r="G117" s="348"/>
      <c r="H117" s="346"/>
    </row>
    <row r="118" spans="1:8" ht="13.5" customHeight="1">
      <c r="A118" s="453"/>
      <c r="B118" s="351"/>
      <c r="C118" s="348"/>
      <c r="D118" s="348"/>
      <c r="E118" s="348"/>
      <c r="F118" s="348"/>
      <c r="G118" s="348"/>
      <c r="H118" s="346"/>
    </row>
    <row r="119" spans="1:8" ht="13.5" customHeight="1">
      <c r="A119" s="453"/>
      <c r="B119" s="351"/>
      <c r="C119" s="348"/>
      <c r="D119" s="348"/>
      <c r="E119" s="348"/>
      <c r="F119" s="348"/>
      <c r="G119" s="348"/>
      <c r="H119" s="346"/>
    </row>
    <row r="120" spans="1:8" ht="13.5" customHeight="1">
      <c r="A120" s="453"/>
      <c r="B120" s="351"/>
      <c r="C120" s="348"/>
      <c r="D120" s="348"/>
      <c r="E120" s="348"/>
      <c r="F120" s="348"/>
      <c r="G120" s="348"/>
      <c r="H120" s="346"/>
    </row>
    <row r="121" spans="1:8" ht="13.5" customHeight="1">
      <c r="A121" s="453"/>
      <c r="B121" s="351"/>
      <c r="C121" s="348"/>
      <c r="D121" s="348"/>
      <c r="E121" s="348"/>
      <c r="F121" s="348"/>
      <c r="G121" s="348"/>
      <c r="H121" s="346"/>
    </row>
    <row r="122" spans="1:8" ht="13.5" customHeight="1">
      <c r="A122" s="454"/>
      <c r="B122" s="350"/>
      <c r="C122" s="346"/>
      <c r="D122" s="346"/>
      <c r="E122" s="346"/>
      <c r="F122" s="346"/>
      <c r="G122" s="346"/>
      <c r="H122" s="347"/>
    </row>
    <row r="123" spans="1:8" ht="21">
      <c r="A123" s="452" t="s">
        <v>17</v>
      </c>
      <c r="B123" s="455" t="s">
        <v>320</v>
      </c>
      <c r="C123" s="456"/>
      <c r="D123" s="456"/>
      <c r="E123" s="456"/>
      <c r="F123" s="456"/>
      <c r="G123" s="456"/>
      <c r="H123" s="457"/>
    </row>
    <row r="124" spans="1:8" ht="13.5" customHeight="1">
      <c r="A124" s="453"/>
      <c r="B124" s="351"/>
      <c r="C124" s="348"/>
      <c r="D124" s="348"/>
      <c r="E124" s="348"/>
      <c r="F124" s="348"/>
      <c r="G124" s="348"/>
      <c r="H124" s="346"/>
    </row>
    <row r="125" spans="1:8" ht="13.5" customHeight="1">
      <c r="A125" s="453"/>
      <c r="B125" s="351"/>
      <c r="C125" s="348"/>
      <c r="D125" s="348"/>
      <c r="E125" s="348"/>
      <c r="F125" s="348"/>
      <c r="G125" s="348"/>
      <c r="H125" s="346"/>
    </row>
    <row r="126" spans="1:8" ht="13.5" customHeight="1">
      <c r="A126" s="453"/>
      <c r="B126" s="351"/>
      <c r="C126" s="348"/>
      <c r="D126" s="348"/>
      <c r="E126" s="348"/>
      <c r="F126" s="348"/>
      <c r="G126" s="348"/>
      <c r="H126" s="346"/>
    </row>
    <row r="127" spans="1:8" ht="13.5" customHeight="1">
      <c r="A127" s="453"/>
      <c r="B127" s="351"/>
      <c r="C127" s="348"/>
      <c r="D127" s="348"/>
      <c r="E127" s="348"/>
      <c r="F127" s="348"/>
      <c r="G127" s="348"/>
      <c r="H127" s="346"/>
    </row>
    <row r="128" spans="1:8" ht="13.5" customHeight="1">
      <c r="A128" s="453"/>
      <c r="B128" s="351"/>
      <c r="C128" s="348"/>
      <c r="D128" s="348"/>
      <c r="E128" s="348"/>
      <c r="F128" s="348"/>
      <c r="G128" s="348"/>
      <c r="H128" s="346"/>
    </row>
    <row r="129" spans="1:8" ht="13.5" customHeight="1">
      <c r="A129" s="453"/>
      <c r="B129" s="351"/>
      <c r="C129" s="348"/>
      <c r="D129" s="348"/>
      <c r="E129" s="348"/>
      <c r="F129" s="348"/>
      <c r="G129" s="348"/>
      <c r="H129" s="346"/>
    </row>
    <row r="130" spans="1:8" ht="13.5" customHeight="1">
      <c r="A130" s="453"/>
      <c r="B130" s="351"/>
      <c r="C130" s="348"/>
      <c r="D130" s="348"/>
      <c r="E130" s="348"/>
      <c r="F130" s="348"/>
      <c r="G130" s="348"/>
      <c r="H130" s="346"/>
    </row>
    <row r="131" spans="1:8" ht="13.5" customHeight="1">
      <c r="A131" s="453"/>
      <c r="B131" s="351"/>
      <c r="C131" s="348"/>
      <c r="D131" s="348"/>
      <c r="E131" s="348"/>
      <c r="F131" s="348"/>
      <c r="G131" s="348"/>
      <c r="H131" s="346"/>
    </row>
    <row r="132" spans="1:8" ht="13.5" customHeight="1">
      <c r="A132" s="453"/>
      <c r="B132" s="351"/>
      <c r="C132" s="348"/>
      <c r="D132" s="348"/>
      <c r="E132" s="348"/>
      <c r="F132" s="348"/>
      <c r="G132" s="348"/>
      <c r="H132" s="346"/>
    </row>
    <row r="133" spans="1:8" ht="13.5" customHeight="1">
      <c r="A133" s="453"/>
      <c r="B133" s="351"/>
      <c r="C133" s="348"/>
      <c r="D133" s="348"/>
      <c r="E133" s="348"/>
      <c r="F133" s="348"/>
      <c r="G133" s="348"/>
      <c r="H133" s="346"/>
    </row>
    <row r="134" spans="1:8" ht="13.5" customHeight="1">
      <c r="A134" s="454"/>
      <c r="B134" s="350"/>
      <c r="C134" s="346"/>
      <c r="D134" s="346"/>
      <c r="E134" s="346"/>
      <c r="F134" s="346"/>
      <c r="G134" s="346"/>
      <c r="H134" s="347"/>
    </row>
    <row r="135" spans="1:8" ht="13.5" customHeight="1">
      <c r="A135" s="458">
        <v>5</v>
      </c>
      <c r="B135" s="455" t="s">
        <v>321</v>
      </c>
      <c r="C135" s="456"/>
      <c r="D135" s="456"/>
      <c r="E135" s="456"/>
      <c r="F135" s="456"/>
      <c r="G135" s="456"/>
      <c r="H135" s="457"/>
    </row>
    <row r="136" spans="1:8" ht="13.5" customHeight="1">
      <c r="A136" s="411"/>
      <c r="B136" s="356"/>
      <c r="C136" s="345"/>
      <c r="D136" s="348"/>
      <c r="E136" s="348"/>
      <c r="F136" s="348"/>
      <c r="G136" s="357"/>
      <c r="H136" s="346"/>
    </row>
    <row r="137" spans="1:8" ht="13.5" customHeight="1">
      <c r="A137" s="411"/>
      <c r="B137" s="356"/>
      <c r="C137" s="345"/>
      <c r="D137" s="348"/>
      <c r="E137" s="348"/>
      <c r="F137" s="348"/>
      <c r="G137" s="357"/>
      <c r="H137" s="346"/>
    </row>
    <row r="138" spans="1:8" ht="13.5" customHeight="1">
      <c r="A138" s="411"/>
      <c r="B138" s="356"/>
      <c r="C138" s="345"/>
      <c r="D138" s="348"/>
      <c r="E138" s="348"/>
      <c r="F138" s="348"/>
      <c r="G138" s="357"/>
      <c r="H138" s="346"/>
    </row>
    <row r="139" spans="1:8" ht="13.5" customHeight="1">
      <c r="A139" s="411"/>
      <c r="B139" s="356"/>
      <c r="C139" s="345"/>
      <c r="D139" s="348"/>
      <c r="E139" s="348"/>
      <c r="F139" s="348"/>
      <c r="G139" s="357"/>
      <c r="H139" s="346"/>
    </row>
    <row r="140" spans="1:8" ht="13.5" customHeight="1">
      <c r="A140" s="411"/>
      <c r="B140" s="356"/>
      <c r="C140" s="345"/>
      <c r="D140" s="348"/>
      <c r="E140" s="348"/>
      <c r="F140" s="348"/>
      <c r="G140" s="357"/>
      <c r="H140" s="346"/>
    </row>
    <row r="141" spans="1:8" ht="13.5" customHeight="1">
      <c r="A141" s="411"/>
      <c r="B141" s="356"/>
      <c r="C141" s="345"/>
      <c r="D141" s="348"/>
      <c r="E141" s="348"/>
      <c r="F141" s="348"/>
      <c r="G141" s="357"/>
      <c r="H141" s="346"/>
    </row>
    <row r="142" spans="1:8" ht="13.5" customHeight="1">
      <c r="A142" s="411"/>
      <c r="B142" s="356"/>
      <c r="C142" s="345"/>
      <c r="D142" s="348"/>
      <c r="E142" s="348"/>
      <c r="F142" s="348"/>
      <c r="G142" s="357"/>
      <c r="H142" s="346"/>
    </row>
    <row r="143" spans="1:8" ht="13.5" customHeight="1">
      <c r="A143" s="411"/>
      <c r="B143" s="356"/>
      <c r="C143" s="345"/>
      <c r="D143" s="348"/>
      <c r="E143" s="348"/>
      <c r="F143" s="348"/>
      <c r="G143" s="357"/>
      <c r="H143" s="346"/>
    </row>
    <row r="144" spans="1:8" ht="13.5" customHeight="1">
      <c r="A144" s="411"/>
      <c r="B144" s="356"/>
      <c r="C144" s="345"/>
      <c r="D144" s="348"/>
      <c r="E144" s="348"/>
      <c r="F144" s="348"/>
      <c r="G144" s="357"/>
      <c r="H144" s="346"/>
    </row>
    <row r="145" spans="1:8" ht="13.5" customHeight="1">
      <c r="A145" s="411"/>
      <c r="B145" s="358"/>
      <c r="C145" s="345"/>
      <c r="D145" s="348"/>
      <c r="E145" s="348"/>
      <c r="F145" s="348"/>
      <c r="G145" s="357"/>
      <c r="H145" s="346"/>
    </row>
    <row r="146" spans="1:8" ht="13.5" customHeight="1">
      <c r="A146" s="411"/>
      <c r="B146" s="350" t="s">
        <v>18</v>
      </c>
      <c r="C146" s="346">
        <f t="shared" ref="C146:H146" si="6">SUM(C136:C145)</f>
        <v>0</v>
      </c>
      <c r="D146" s="346">
        <f t="shared" si="6"/>
        <v>0</v>
      </c>
      <c r="E146" s="346">
        <f t="shared" si="6"/>
        <v>0</v>
      </c>
      <c r="F146" s="346">
        <f t="shared" si="6"/>
        <v>0</v>
      </c>
      <c r="G146" s="346">
        <f t="shared" si="6"/>
        <v>0</v>
      </c>
      <c r="H146" s="359">
        <f t="shared" si="6"/>
        <v>0</v>
      </c>
    </row>
  </sheetData>
  <mergeCells count="23">
    <mergeCell ref="A111:A122"/>
    <mergeCell ref="B111:H111"/>
    <mergeCell ref="A123:A134"/>
    <mergeCell ref="B123:H123"/>
    <mergeCell ref="A135:A146"/>
    <mergeCell ref="B135:H135"/>
    <mergeCell ref="A77:A88"/>
    <mergeCell ref="B77:H77"/>
    <mergeCell ref="A89:A98"/>
    <mergeCell ref="B89:H89"/>
    <mergeCell ref="A99:A110"/>
    <mergeCell ref="B99:H99"/>
    <mergeCell ref="A27:A44"/>
    <mergeCell ref="B27:H27"/>
    <mergeCell ref="A45:A63"/>
    <mergeCell ref="B45:H45"/>
    <mergeCell ref="A64:A76"/>
    <mergeCell ref="B64:H64"/>
    <mergeCell ref="A1:H1"/>
    <mergeCell ref="A4:H11"/>
    <mergeCell ref="A12:B12"/>
    <mergeCell ref="A13:A26"/>
    <mergeCell ref="B13:H13"/>
  </mergeCells>
  <pageMargins left="0.7" right="0.7" top="0.75" bottom="0.75" header="0.3" footer="0.3"/>
  <pageSetup paperSize="9" scale="34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L34"/>
  <sheetViews>
    <sheetView workbookViewId="0">
      <selection sqref="A1:K34"/>
    </sheetView>
  </sheetViews>
  <sheetFormatPr defaultColWidth="11.42578125" defaultRowHeight="15"/>
  <cols>
    <col min="1" max="1" width="21.28515625" customWidth="1"/>
  </cols>
  <sheetData>
    <row r="1" spans="1:38">
      <c r="D1" t="s">
        <v>322</v>
      </c>
      <c r="M1" t="s">
        <v>323</v>
      </c>
      <c r="V1" t="s">
        <v>324</v>
      </c>
      <c r="AD1" t="s">
        <v>325</v>
      </c>
    </row>
    <row r="2" spans="1:38">
      <c r="D2">
        <v>2020</v>
      </c>
      <c r="E2">
        <v>2021</v>
      </c>
      <c r="F2">
        <v>2022</v>
      </c>
      <c r="G2">
        <v>2023</v>
      </c>
      <c r="H2">
        <v>2024</v>
      </c>
      <c r="I2">
        <v>2025</v>
      </c>
      <c r="J2">
        <v>2026</v>
      </c>
      <c r="K2" t="s">
        <v>0</v>
      </c>
      <c r="M2">
        <v>2020</v>
      </c>
      <c r="N2">
        <v>2021</v>
      </c>
      <c r="O2">
        <v>2022</v>
      </c>
      <c r="P2">
        <v>2023</v>
      </c>
      <c r="Q2">
        <v>2024</v>
      </c>
      <c r="R2">
        <v>2025</v>
      </c>
      <c r="S2">
        <v>2026</v>
      </c>
      <c r="T2" t="s">
        <v>0</v>
      </c>
      <c r="V2">
        <v>2020</v>
      </c>
      <c r="W2">
        <v>2021</v>
      </c>
      <c r="X2">
        <v>2022</v>
      </c>
      <c r="Y2">
        <v>2023</v>
      </c>
      <c r="Z2">
        <v>2024</v>
      </c>
      <c r="AA2">
        <v>2025</v>
      </c>
      <c r="AB2">
        <v>2026</v>
      </c>
      <c r="AD2">
        <v>2020</v>
      </c>
      <c r="AE2">
        <v>2021</v>
      </c>
      <c r="AF2">
        <v>2022</v>
      </c>
      <c r="AG2">
        <v>2023</v>
      </c>
      <c r="AH2">
        <v>2024</v>
      </c>
      <c r="AI2">
        <v>2025</v>
      </c>
      <c r="AJ2">
        <v>2026</v>
      </c>
      <c r="AK2" t="s">
        <v>326</v>
      </c>
      <c r="AL2" t="s">
        <v>0</v>
      </c>
    </row>
    <row r="3" spans="1:38">
      <c r="A3" t="s">
        <v>327</v>
      </c>
      <c r="B3" t="s">
        <v>328</v>
      </c>
      <c r="C3" t="s">
        <v>329</v>
      </c>
      <c r="D3">
        <v>38002404</v>
      </c>
      <c r="E3">
        <v>6222274.5</v>
      </c>
      <c r="F3">
        <v>6740108</v>
      </c>
      <c r="G3">
        <v>6991569.0640000002</v>
      </c>
      <c r="H3">
        <v>7250805</v>
      </c>
      <c r="I3">
        <v>7521174</v>
      </c>
      <c r="J3">
        <v>7799736</v>
      </c>
      <c r="K3">
        <v>80528070.563999996</v>
      </c>
      <c r="M3">
        <v>38000110</v>
      </c>
      <c r="N3">
        <v>6230601</v>
      </c>
      <c r="O3">
        <v>6749980</v>
      </c>
      <c r="P3">
        <v>6999040</v>
      </c>
      <c r="Q3">
        <v>7251282</v>
      </c>
      <c r="R3">
        <v>7519848</v>
      </c>
      <c r="S3">
        <v>7811160</v>
      </c>
      <c r="T3">
        <v>80562021</v>
      </c>
      <c r="V3">
        <v>2294</v>
      </c>
      <c r="W3">
        <v>-8326.5</v>
      </c>
      <c r="X3">
        <v>-9872</v>
      </c>
      <c r="Y3">
        <v>-7470.935999999987</v>
      </c>
      <c r="Z3">
        <v>-477</v>
      </c>
      <c r="AA3">
        <v>1326</v>
      </c>
      <c r="AB3">
        <v>-11424</v>
      </c>
      <c r="AD3">
        <v>38002404</v>
      </c>
      <c r="AE3">
        <v>6222274.5</v>
      </c>
      <c r="AF3">
        <v>6740108</v>
      </c>
      <c r="AG3">
        <v>6991569.0640000002</v>
      </c>
      <c r="AH3">
        <v>7250805</v>
      </c>
      <c r="AI3">
        <v>7521174</v>
      </c>
      <c r="AJ3">
        <v>7799736</v>
      </c>
      <c r="AK3">
        <v>28503656.063999999</v>
      </c>
      <c r="AL3">
        <v>34725930.563999996</v>
      </c>
    </row>
    <row r="4" spans="1:38">
      <c r="A4" t="s">
        <v>4</v>
      </c>
      <c r="B4" t="s">
        <v>330</v>
      </c>
      <c r="C4">
        <v>54249</v>
      </c>
      <c r="D4">
        <v>12295840</v>
      </c>
      <c r="E4">
        <v>1628425.5</v>
      </c>
      <c r="F4">
        <v>1689346</v>
      </c>
      <c r="G4">
        <v>1752320</v>
      </c>
      <c r="H4">
        <v>1817347.5</v>
      </c>
      <c r="I4">
        <v>1885113</v>
      </c>
      <c r="J4">
        <v>1954932</v>
      </c>
      <c r="K4">
        <v>23023324</v>
      </c>
      <c r="M4">
        <v>12295840</v>
      </c>
      <c r="N4">
        <v>1629615</v>
      </c>
      <c r="O4">
        <v>1690580</v>
      </c>
      <c r="P4">
        <v>1753600</v>
      </c>
      <c r="Q4">
        <v>1817640</v>
      </c>
      <c r="R4">
        <v>1884960</v>
      </c>
      <c r="S4">
        <v>1956360</v>
      </c>
      <c r="T4">
        <v>23028595</v>
      </c>
      <c r="V4">
        <v>0</v>
      </c>
      <c r="W4">
        <v>-1189.5</v>
      </c>
      <c r="X4">
        <v>-1234</v>
      </c>
      <c r="Y4">
        <v>-1280</v>
      </c>
      <c r="Z4">
        <v>-292.5</v>
      </c>
      <c r="AA4">
        <v>153</v>
      </c>
      <c r="AB4">
        <v>-1428</v>
      </c>
      <c r="AD4">
        <v>12295840</v>
      </c>
      <c r="AE4">
        <v>1628425.5</v>
      </c>
      <c r="AF4">
        <v>1689346</v>
      </c>
      <c r="AG4">
        <v>1752320</v>
      </c>
      <c r="AH4">
        <v>1817347.5</v>
      </c>
      <c r="AI4">
        <v>1885113</v>
      </c>
      <c r="AJ4">
        <v>1954932</v>
      </c>
      <c r="AK4">
        <v>7144126.5</v>
      </c>
      <c r="AL4">
        <v>8772552</v>
      </c>
    </row>
    <row r="5" spans="1:38">
      <c r="A5" t="s">
        <v>5</v>
      </c>
      <c r="B5" t="s">
        <v>330</v>
      </c>
      <c r="C5">
        <v>22028</v>
      </c>
      <c r="D5">
        <v>0</v>
      </c>
      <c r="E5">
        <v>386587.5</v>
      </c>
      <c r="F5">
        <v>686104</v>
      </c>
      <c r="G5">
        <v>711680</v>
      </c>
      <c r="H5">
        <v>738090</v>
      </c>
      <c r="I5">
        <v>765612</v>
      </c>
      <c r="J5">
        <v>793968</v>
      </c>
      <c r="K5">
        <v>4082041.5</v>
      </c>
      <c r="M5">
        <v>0</v>
      </c>
      <c r="N5">
        <v>387777</v>
      </c>
      <c r="O5">
        <v>686104</v>
      </c>
      <c r="P5">
        <v>711680</v>
      </c>
      <c r="Q5">
        <v>738072</v>
      </c>
      <c r="R5">
        <v>765408</v>
      </c>
      <c r="S5">
        <v>793968</v>
      </c>
      <c r="T5">
        <v>4083009</v>
      </c>
      <c r="V5">
        <v>0</v>
      </c>
      <c r="W5">
        <v>-1189.5</v>
      </c>
      <c r="X5">
        <v>0</v>
      </c>
      <c r="Y5">
        <v>0</v>
      </c>
      <c r="Z5">
        <v>18</v>
      </c>
      <c r="AA5">
        <v>204</v>
      </c>
      <c r="AB5">
        <v>0</v>
      </c>
      <c r="AD5">
        <v>0</v>
      </c>
      <c r="AE5">
        <v>386587.5</v>
      </c>
      <c r="AF5">
        <v>686104</v>
      </c>
      <c r="AG5">
        <v>711680</v>
      </c>
      <c r="AH5">
        <v>738090</v>
      </c>
      <c r="AI5">
        <v>765612</v>
      </c>
      <c r="AJ5">
        <v>793968</v>
      </c>
      <c r="AK5">
        <v>2901486</v>
      </c>
      <c r="AL5">
        <v>3288073.5</v>
      </c>
    </row>
    <row r="6" spans="1:38">
      <c r="A6" t="s">
        <v>7</v>
      </c>
      <c r="B6" t="s">
        <v>330</v>
      </c>
      <c r="C6">
        <v>5847</v>
      </c>
      <c r="D6">
        <v>1325932</v>
      </c>
      <c r="E6">
        <v>174856.5</v>
      </c>
      <c r="F6">
        <v>181398</v>
      </c>
      <c r="G6">
        <v>188369.06400000001</v>
      </c>
      <c r="H6">
        <v>195142.5</v>
      </c>
      <c r="I6">
        <v>202419</v>
      </c>
      <c r="J6">
        <v>209916</v>
      </c>
      <c r="K6">
        <v>2478033.0640000002</v>
      </c>
      <c r="M6">
        <v>1325932</v>
      </c>
      <c r="N6">
        <v>176046</v>
      </c>
      <c r="O6">
        <v>182632</v>
      </c>
      <c r="P6">
        <v>189440</v>
      </c>
      <c r="Q6">
        <v>195534</v>
      </c>
      <c r="R6">
        <v>202776</v>
      </c>
      <c r="S6">
        <v>211344</v>
      </c>
      <c r="T6">
        <v>2483704</v>
      </c>
      <c r="V6">
        <v>0</v>
      </c>
      <c r="W6">
        <v>-1189.5</v>
      </c>
      <c r="X6">
        <v>-1234</v>
      </c>
      <c r="Y6">
        <v>-1070.935999999987</v>
      </c>
      <c r="Z6">
        <v>-391.5</v>
      </c>
      <c r="AA6">
        <v>-357</v>
      </c>
      <c r="AB6">
        <v>-1428</v>
      </c>
      <c r="AD6">
        <v>1325932</v>
      </c>
      <c r="AE6">
        <v>174856.5</v>
      </c>
      <c r="AF6">
        <v>181398</v>
      </c>
      <c r="AG6">
        <v>188369.06400000001</v>
      </c>
      <c r="AH6">
        <v>195142.5</v>
      </c>
      <c r="AI6">
        <v>202419</v>
      </c>
      <c r="AJ6">
        <v>209916</v>
      </c>
      <c r="AK6">
        <v>767328.56400000001</v>
      </c>
      <c r="AL6">
        <v>942185.06400000001</v>
      </c>
    </row>
    <row r="7" spans="1:38">
      <c r="A7" t="s">
        <v>8</v>
      </c>
      <c r="B7" t="s">
        <v>330</v>
      </c>
      <c r="C7">
        <v>9558</v>
      </c>
      <c r="D7">
        <v>2165536</v>
      </c>
      <c r="E7">
        <v>286669.5</v>
      </c>
      <c r="F7">
        <v>297394</v>
      </c>
      <c r="G7">
        <v>308480</v>
      </c>
      <c r="H7">
        <v>319927.5</v>
      </c>
      <c r="I7">
        <v>331857</v>
      </c>
      <c r="J7">
        <v>344148</v>
      </c>
      <c r="K7">
        <v>4054012</v>
      </c>
      <c r="M7">
        <v>2165536</v>
      </c>
      <c r="N7">
        <v>287859</v>
      </c>
      <c r="O7">
        <v>298628</v>
      </c>
      <c r="P7">
        <v>309760</v>
      </c>
      <c r="Q7">
        <v>319464</v>
      </c>
      <c r="R7">
        <v>331296</v>
      </c>
      <c r="S7">
        <v>345576</v>
      </c>
      <c r="T7">
        <v>4058119</v>
      </c>
      <c r="V7">
        <v>0</v>
      </c>
      <c r="W7">
        <v>-1189.5</v>
      </c>
      <c r="X7">
        <v>-1234</v>
      </c>
      <c r="Y7">
        <v>-1280</v>
      </c>
      <c r="Z7">
        <v>463.5</v>
      </c>
      <c r="AA7">
        <v>561</v>
      </c>
      <c r="AB7">
        <v>-1428</v>
      </c>
      <c r="AD7">
        <v>2165536</v>
      </c>
      <c r="AE7">
        <v>286669.5</v>
      </c>
      <c r="AF7">
        <v>297394</v>
      </c>
      <c r="AG7">
        <v>308480</v>
      </c>
      <c r="AH7">
        <v>319927.5</v>
      </c>
      <c r="AI7">
        <v>331857</v>
      </c>
      <c r="AJ7">
        <v>344148</v>
      </c>
      <c r="AK7">
        <v>1257658.5</v>
      </c>
      <c r="AL7">
        <v>1544328</v>
      </c>
    </row>
    <row r="8" spans="1:38">
      <c r="A8" t="s">
        <v>9</v>
      </c>
      <c r="B8" t="s">
        <v>330</v>
      </c>
      <c r="C8">
        <v>11442</v>
      </c>
      <c r="D8">
        <v>369334</v>
      </c>
      <c r="E8">
        <v>343765.5</v>
      </c>
      <c r="F8">
        <v>356626</v>
      </c>
      <c r="G8">
        <v>369920</v>
      </c>
      <c r="H8">
        <v>383647.5</v>
      </c>
      <c r="I8">
        <v>397953</v>
      </c>
      <c r="J8">
        <v>412692</v>
      </c>
      <c r="K8">
        <v>2633938</v>
      </c>
      <c r="M8">
        <v>369334</v>
      </c>
      <c r="N8">
        <v>344955</v>
      </c>
      <c r="O8">
        <v>357860</v>
      </c>
      <c r="P8">
        <v>371200</v>
      </c>
      <c r="Q8">
        <v>382806</v>
      </c>
      <c r="R8">
        <v>396984</v>
      </c>
      <c r="S8">
        <v>414120</v>
      </c>
      <c r="T8">
        <v>2637259</v>
      </c>
      <c r="V8">
        <v>0</v>
      </c>
      <c r="W8">
        <v>-1189.5</v>
      </c>
      <c r="X8">
        <v>-1234</v>
      </c>
      <c r="Y8">
        <v>-1280</v>
      </c>
      <c r="Z8">
        <v>841.5</v>
      </c>
      <c r="AA8">
        <v>969</v>
      </c>
      <c r="AB8">
        <v>-1428</v>
      </c>
      <c r="AD8">
        <v>369334</v>
      </c>
      <c r="AE8">
        <v>343765.5</v>
      </c>
      <c r="AF8">
        <v>356626</v>
      </c>
      <c r="AG8">
        <v>369920</v>
      </c>
      <c r="AH8">
        <v>383647.5</v>
      </c>
      <c r="AI8">
        <v>397953</v>
      </c>
      <c r="AJ8">
        <v>412692</v>
      </c>
      <c r="AK8">
        <v>1508146.5</v>
      </c>
      <c r="AL8">
        <v>1851912</v>
      </c>
    </row>
    <row r="9" spans="1:38">
      <c r="A9" t="s">
        <v>93</v>
      </c>
      <c r="B9" t="s">
        <v>330</v>
      </c>
      <c r="C9">
        <v>14079</v>
      </c>
      <c r="D9">
        <v>3190954</v>
      </c>
      <c r="E9">
        <v>422272.5</v>
      </c>
      <c r="F9">
        <v>438070</v>
      </c>
      <c r="G9">
        <v>454400</v>
      </c>
      <c r="H9">
        <v>471262.5</v>
      </c>
      <c r="I9">
        <v>488835</v>
      </c>
      <c r="J9">
        <v>506940</v>
      </c>
      <c r="K9">
        <v>5972734</v>
      </c>
      <c r="M9">
        <v>3190954</v>
      </c>
      <c r="N9">
        <v>423462</v>
      </c>
      <c r="O9">
        <v>439304</v>
      </c>
      <c r="P9">
        <v>455680</v>
      </c>
      <c r="Q9">
        <v>470934</v>
      </c>
      <c r="R9">
        <v>488376</v>
      </c>
      <c r="S9">
        <v>508368</v>
      </c>
      <c r="T9">
        <v>5977078</v>
      </c>
      <c r="V9">
        <v>0</v>
      </c>
      <c r="W9">
        <v>-1189.5</v>
      </c>
      <c r="X9">
        <v>-1234</v>
      </c>
      <c r="Y9">
        <v>-1280</v>
      </c>
      <c r="Z9">
        <v>328.5</v>
      </c>
      <c r="AA9">
        <v>459</v>
      </c>
      <c r="AB9">
        <v>-1428</v>
      </c>
      <c r="AD9">
        <v>3190954</v>
      </c>
      <c r="AE9">
        <v>422272.5</v>
      </c>
      <c r="AF9">
        <v>438070</v>
      </c>
      <c r="AG9">
        <v>454400</v>
      </c>
      <c r="AH9">
        <v>471262.5</v>
      </c>
      <c r="AI9">
        <v>488835</v>
      </c>
      <c r="AJ9">
        <v>506940</v>
      </c>
      <c r="AK9">
        <v>1852567.5</v>
      </c>
      <c r="AL9">
        <v>2274840</v>
      </c>
    </row>
    <row r="10" spans="1:38">
      <c r="A10" t="s">
        <v>11</v>
      </c>
      <c r="B10" t="s">
        <v>330</v>
      </c>
      <c r="C10">
        <v>13492</v>
      </c>
      <c r="D10">
        <v>3057902</v>
      </c>
      <c r="E10">
        <v>404430</v>
      </c>
      <c r="F10">
        <v>419560</v>
      </c>
      <c r="G10">
        <v>435200</v>
      </c>
      <c r="H10">
        <v>451350</v>
      </c>
      <c r="I10">
        <v>468180</v>
      </c>
      <c r="J10">
        <v>485520</v>
      </c>
      <c r="K10">
        <v>5722142</v>
      </c>
      <c r="M10">
        <v>3057902</v>
      </c>
      <c r="N10">
        <v>404430</v>
      </c>
      <c r="O10">
        <v>419560</v>
      </c>
      <c r="P10">
        <v>432640</v>
      </c>
      <c r="Q10">
        <v>451656</v>
      </c>
      <c r="R10">
        <v>468384</v>
      </c>
      <c r="S10">
        <v>485520</v>
      </c>
      <c r="T10">
        <v>5720092</v>
      </c>
      <c r="V10">
        <v>0</v>
      </c>
      <c r="W10">
        <v>0</v>
      </c>
      <c r="X10">
        <v>0</v>
      </c>
      <c r="Y10">
        <v>2560</v>
      </c>
      <c r="Z10">
        <v>-306</v>
      </c>
      <c r="AA10">
        <v>-204</v>
      </c>
      <c r="AB10">
        <v>0</v>
      </c>
      <c r="AD10">
        <v>3057902</v>
      </c>
      <c r="AE10">
        <v>404430</v>
      </c>
      <c r="AF10">
        <v>419560</v>
      </c>
      <c r="AG10">
        <v>435200</v>
      </c>
      <c r="AH10">
        <v>451350</v>
      </c>
      <c r="AI10">
        <v>468180</v>
      </c>
      <c r="AJ10">
        <v>485520</v>
      </c>
      <c r="AK10">
        <v>1774290</v>
      </c>
      <c r="AL10">
        <v>2178720</v>
      </c>
    </row>
    <row r="11" spans="1:38">
      <c r="A11" t="s">
        <v>12</v>
      </c>
      <c r="B11" t="s">
        <v>330</v>
      </c>
      <c r="C11">
        <v>21678</v>
      </c>
      <c r="D11">
        <v>4913748</v>
      </c>
      <c r="E11">
        <v>650656.5</v>
      </c>
      <c r="F11">
        <v>674998</v>
      </c>
      <c r="G11">
        <v>700160</v>
      </c>
      <c r="H11">
        <v>726142.5</v>
      </c>
      <c r="I11">
        <v>753219</v>
      </c>
      <c r="J11">
        <v>781116</v>
      </c>
      <c r="K11">
        <v>9200040</v>
      </c>
      <c r="M11">
        <v>4913748</v>
      </c>
      <c r="N11">
        <v>651846</v>
      </c>
      <c r="O11">
        <v>676232</v>
      </c>
      <c r="P11">
        <v>701440</v>
      </c>
      <c r="Q11">
        <v>727056</v>
      </c>
      <c r="R11">
        <v>753984</v>
      </c>
      <c r="S11">
        <v>782544</v>
      </c>
      <c r="T11">
        <v>9206850</v>
      </c>
      <c r="V11">
        <v>0</v>
      </c>
      <c r="W11">
        <v>-1189.5</v>
      </c>
      <c r="X11">
        <v>-1234</v>
      </c>
      <c r="Y11">
        <v>-1280</v>
      </c>
      <c r="Z11">
        <v>-913.5</v>
      </c>
      <c r="AA11">
        <v>-765</v>
      </c>
      <c r="AB11">
        <v>-1428</v>
      </c>
      <c r="AD11">
        <v>4913748</v>
      </c>
      <c r="AE11">
        <v>650656.5</v>
      </c>
      <c r="AF11">
        <v>674998</v>
      </c>
      <c r="AG11">
        <v>700160</v>
      </c>
      <c r="AH11">
        <v>726142.5</v>
      </c>
      <c r="AI11">
        <v>753219</v>
      </c>
      <c r="AJ11">
        <v>781116</v>
      </c>
      <c r="AK11">
        <v>2854519.5</v>
      </c>
      <c r="AL11">
        <v>3505176</v>
      </c>
    </row>
    <row r="12" spans="1:38">
      <c r="A12" t="s">
        <v>13</v>
      </c>
      <c r="B12" t="s">
        <v>330</v>
      </c>
      <c r="C12">
        <v>47142</v>
      </c>
      <c r="D12">
        <v>10683158</v>
      </c>
      <c r="E12">
        <v>1414315.5</v>
      </c>
      <c r="F12">
        <v>1467226</v>
      </c>
      <c r="G12">
        <v>1521920</v>
      </c>
      <c r="H12">
        <v>1578397.5</v>
      </c>
      <c r="I12">
        <v>1637253</v>
      </c>
      <c r="J12">
        <v>1697892</v>
      </c>
      <c r="K12">
        <v>20000162</v>
      </c>
      <c r="M12">
        <v>10680864</v>
      </c>
      <c r="N12">
        <v>1415505</v>
      </c>
      <c r="O12">
        <v>1468460</v>
      </c>
      <c r="P12">
        <v>1523200</v>
      </c>
      <c r="Q12">
        <v>1578042</v>
      </c>
      <c r="R12">
        <v>1636488</v>
      </c>
      <c r="S12">
        <v>1699320</v>
      </c>
      <c r="T12">
        <v>20001879</v>
      </c>
      <c r="V12">
        <v>2294</v>
      </c>
      <c r="W12">
        <v>-1189.5</v>
      </c>
      <c r="X12">
        <v>-1234</v>
      </c>
      <c r="Y12">
        <v>-1280</v>
      </c>
      <c r="Z12">
        <v>355.5</v>
      </c>
      <c r="AA12">
        <v>765</v>
      </c>
      <c r="AB12">
        <v>-1428</v>
      </c>
      <c r="AD12">
        <v>10683158</v>
      </c>
      <c r="AE12">
        <v>1414315.5</v>
      </c>
      <c r="AF12">
        <v>1467226</v>
      </c>
      <c r="AG12">
        <v>1521920</v>
      </c>
      <c r="AH12">
        <v>1578397.5</v>
      </c>
      <c r="AI12">
        <v>1637253</v>
      </c>
      <c r="AJ12">
        <v>1697892</v>
      </c>
      <c r="AK12">
        <v>6204796.5</v>
      </c>
      <c r="AL12">
        <v>7619112</v>
      </c>
    </row>
    <row r="13" spans="1:38">
      <c r="A13" t="s">
        <v>14</v>
      </c>
      <c r="B13" t="s">
        <v>330</v>
      </c>
      <c r="C13">
        <v>17025</v>
      </c>
      <c r="D13">
        <v>0</v>
      </c>
      <c r="E13">
        <v>510295.5</v>
      </c>
      <c r="F13">
        <v>529386</v>
      </c>
      <c r="G13">
        <v>549120</v>
      </c>
      <c r="H13">
        <v>569497.5</v>
      </c>
      <c r="I13">
        <v>590733</v>
      </c>
      <c r="J13">
        <v>612612</v>
      </c>
      <c r="K13">
        <v>3361644</v>
      </c>
      <c r="M13">
        <v>0</v>
      </c>
      <c r="N13">
        <v>509106</v>
      </c>
      <c r="O13">
        <v>530620</v>
      </c>
      <c r="P13">
        <v>550400</v>
      </c>
      <c r="Q13">
        <v>570078</v>
      </c>
      <c r="R13">
        <v>591192</v>
      </c>
      <c r="S13">
        <v>614040</v>
      </c>
      <c r="T13">
        <v>3365436</v>
      </c>
      <c r="V13">
        <v>0</v>
      </c>
      <c r="W13">
        <v>1189.5</v>
      </c>
      <c r="X13">
        <v>-1234</v>
      </c>
      <c r="Y13">
        <v>-1280</v>
      </c>
      <c r="Z13">
        <v>-580.5</v>
      </c>
      <c r="AA13">
        <v>-459</v>
      </c>
      <c r="AB13">
        <v>-1428</v>
      </c>
      <c r="AD13">
        <v>0</v>
      </c>
      <c r="AE13">
        <v>510295.5</v>
      </c>
      <c r="AF13">
        <v>529386</v>
      </c>
      <c r="AG13">
        <v>549120</v>
      </c>
      <c r="AH13">
        <v>569497.5</v>
      </c>
      <c r="AI13">
        <v>590733</v>
      </c>
      <c r="AJ13">
        <v>612612</v>
      </c>
      <c r="AK13">
        <v>2238736.5</v>
      </c>
      <c r="AL13">
        <v>2749032</v>
      </c>
    </row>
    <row r="14" spans="1:38">
      <c r="A14" t="s">
        <v>331</v>
      </c>
      <c r="D14">
        <v>217.3</v>
      </c>
      <c r="E14">
        <v>57.932391999999993</v>
      </c>
      <c r="F14">
        <v>60.075890503999986</v>
      </c>
      <c r="G14">
        <v>62.298698452647983</v>
      </c>
      <c r="H14">
        <v>64.603750295395955</v>
      </c>
      <c r="I14">
        <v>66.994089056325606</v>
      </c>
      <c r="J14">
        <v>69.472870351409654</v>
      </c>
      <c r="M14">
        <v>217.3</v>
      </c>
      <c r="N14">
        <v>57.932391999999993</v>
      </c>
      <c r="O14">
        <v>60.075890503999986</v>
      </c>
      <c r="P14">
        <v>62.298698452647983</v>
      </c>
      <c r="Q14">
        <v>64.603750295395955</v>
      </c>
      <c r="R14">
        <v>66.994089056325606</v>
      </c>
      <c r="S14">
        <v>69.472870351409654</v>
      </c>
      <c r="AD14">
        <v>217.3</v>
      </c>
      <c r="AE14">
        <v>57.932391999999993</v>
      </c>
      <c r="AF14">
        <v>60.075890503999986</v>
      </c>
      <c r="AG14">
        <v>62.298698452647983</v>
      </c>
      <c r="AH14">
        <v>64.603750295395955</v>
      </c>
      <c r="AI14">
        <v>66.994089056325606</v>
      </c>
      <c r="AJ14">
        <v>69.472870351409654</v>
      </c>
    </row>
    <row r="15" spans="1:38">
      <c r="A15" t="s">
        <v>332</v>
      </c>
      <c r="D15">
        <v>1.0429999999999999</v>
      </c>
      <c r="E15">
        <v>1.0369999999999999</v>
      </c>
      <c r="F15">
        <v>1.0369999999999999</v>
      </c>
      <c r="G15">
        <v>1.0369999999999999</v>
      </c>
      <c r="H15">
        <v>1.0369999999999999</v>
      </c>
      <c r="I15">
        <v>1.0369999999999999</v>
      </c>
      <c r="J15">
        <v>1.0369999999999999</v>
      </c>
      <c r="M15">
        <v>1.0429999999999999</v>
      </c>
      <c r="N15">
        <v>1.0369999999999999</v>
      </c>
      <c r="O15">
        <v>1.0369999999999999</v>
      </c>
      <c r="P15">
        <v>1.0369999999999999</v>
      </c>
      <c r="Q15">
        <v>1.0369999999999999</v>
      </c>
      <c r="R15">
        <v>1.0369999999999999</v>
      </c>
      <c r="S15">
        <v>1.0369999999999999</v>
      </c>
      <c r="AD15">
        <v>1.0429999999999999</v>
      </c>
      <c r="AE15">
        <v>1.0369999999999999</v>
      </c>
      <c r="AF15">
        <v>1.0369999999999999</v>
      </c>
      <c r="AG15">
        <v>1.0369999999999999</v>
      </c>
      <c r="AH15">
        <v>1.0369999999999999</v>
      </c>
      <c r="AI15">
        <v>1.0369999999999999</v>
      </c>
      <c r="AJ15">
        <v>1.0369999999999999</v>
      </c>
    </row>
    <row r="16" spans="1:38">
      <c r="A16" t="s">
        <v>333</v>
      </c>
      <c r="D16">
        <v>226.6439</v>
      </c>
      <c r="E16">
        <v>60.075890503999986</v>
      </c>
      <c r="F16">
        <v>62.298698452647983</v>
      </c>
      <c r="G16">
        <v>64.603750295395955</v>
      </c>
      <c r="H16">
        <v>66.994089056325606</v>
      </c>
      <c r="I16">
        <v>69.472870351409654</v>
      </c>
      <c r="J16">
        <v>72.043366554411804</v>
      </c>
      <c r="M16">
        <v>226.6439</v>
      </c>
      <c r="N16">
        <v>60.075890503999986</v>
      </c>
      <c r="O16">
        <v>62.298698452647983</v>
      </c>
      <c r="P16">
        <v>64.603750295395955</v>
      </c>
      <c r="Q16">
        <v>66.994089056325606</v>
      </c>
      <c r="R16">
        <v>69.472870351409654</v>
      </c>
      <c r="S16">
        <v>72.043366554411804</v>
      </c>
      <c r="AD16">
        <v>226.6439</v>
      </c>
      <c r="AE16">
        <v>60.075890503999986</v>
      </c>
      <c r="AF16">
        <v>62.298698452647983</v>
      </c>
      <c r="AG16">
        <v>64.603750295395955</v>
      </c>
      <c r="AH16">
        <v>66.994089056325606</v>
      </c>
      <c r="AI16">
        <v>69.472870351409654</v>
      </c>
      <c r="AJ16">
        <v>72.043366554411804</v>
      </c>
    </row>
    <row r="17" spans="1:38">
      <c r="A17" t="s">
        <v>334</v>
      </c>
    </row>
    <row r="19" spans="1:38">
      <c r="D19" t="s">
        <v>322</v>
      </c>
      <c r="M19" t="s">
        <v>323</v>
      </c>
      <c r="V19" t="s">
        <v>324</v>
      </c>
      <c r="AD19" t="s">
        <v>325</v>
      </c>
    </row>
    <row r="20" spans="1:38">
      <c r="D20">
        <v>2020</v>
      </c>
      <c r="E20">
        <v>2021</v>
      </c>
      <c r="F20">
        <v>2022</v>
      </c>
      <c r="G20">
        <v>2023</v>
      </c>
      <c r="H20">
        <v>2024</v>
      </c>
      <c r="I20">
        <v>2025</v>
      </c>
      <c r="J20">
        <v>2026</v>
      </c>
      <c r="K20" t="s">
        <v>0</v>
      </c>
      <c r="M20">
        <v>2020</v>
      </c>
      <c r="N20">
        <v>2021</v>
      </c>
      <c r="O20">
        <v>2022</v>
      </c>
      <c r="P20">
        <v>2023</v>
      </c>
      <c r="Q20">
        <v>2024</v>
      </c>
      <c r="R20">
        <v>2025</v>
      </c>
      <c r="S20">
        <v>2026</v>
      </c>
      <c r="T20" t="s">
        <v>0</v>
      </c>
      <c r="V20">
        <v>2020</v>
      </c>
      <c r="W20">
        <v>2021</v>
      </c>
      <c r="X20">
        <v>2022</v>
      </c>
      <c r="Y20">
        <v>2023</v>
      </c>
      <c r="Z20">
        <v>2024</v>
      </c>
      <c r="AA20">
        <v>2025</v>
      </c>
      <c r="AB20">
        <v>2026</v>
      </c>
      <c r="AD20">
        <v>2020</v>
      </c>
      <c r="AE20">
        <v>2021</v>
      </c>
      <c r="AF20">
        <v>2022</v>
      </c>
      <c r="AG20">
        <v>2023</v>
      </c>
      <c r="AH20">
        <v>2024</v>
      </c>
      <c r="AI20">
        <v>2025</v>
      </c>
      <c r="AJ20">
        <v>2026</v>
      </c>
      <c r="AK20" t="s">
        <v>326</v>
      </c>
      <c r="AL20" t="s">
        <v>0</v>
      </c>
    </row>
    <row r="21" spans="1:38">
      <c r="A21" t="s">
        <v>335</v>
      </c>
      <c r="B21" t="s">
        <v>328</v>
      </c>
      <c r="C21" t="s">
        <v>329</v>
      </c>
      <c r="D21">
        <v>11138200</v>
      </c>
      <c r="E21">
        <v>4512000</v>
      </c>
      <c r="F21">
        <v>4061000</v>
      </c>
      <c r="G21">
        <v>3762000</v>
      </c>
      <c r="H21">
        <v>3460000</v>
      </c>
      <c r="I21">
        <v>3588020</v>
      </c>
      <c r="J21">
        <v>3720777</v>
      </c>
      <c r="K21">
        <v>34241997</v>
      </c>
      <c r="M21">
        <v>11139664</v>
      </c>
      <c r="N21">
        <v>4510584</v>
      </c>
      <c r="O21">
        <v>4062328</v>
      </c>
      <c r="P21">
        <v>3765760</v>
      </c>
      <c r="Q21">
        <v>3461778</v>
      </c>
      <c r="R21">
        <v>3589992</v>
      </c>
      <c r="S21">
        <v>3721368</v>
      </c>
      <c r="T21">
        <v>34251474</v>
      </c>
      <c r="V21">
        <v>-1464</v>
      </c>
      <c r="W21">
        <v>1416</v>
      </c>
      <c r="X21">
        <v>-1328</v>
      </c>
      <c r="Y21">
        <v>-3760</v>
      </c>
      <c r="Z21">
        <v>-1778</v>
      </c>
      <c r="AA21">
        <v>-1972</v>
      </c>
      <c r="AB21">
        <v>-591</v>
      </c>
      <c r="AD21">
        <v>11138200</v>
      </c>
      <c r="AE21">
        <v>4512000</v>
      </c>
      <c r="AF21">
        <v>4061000</v>
      </c>
      <c r="AG21">
        <v>3762000</v>
      </c>
      <c r="AH21">
        <v>3460000</v>
      </c>
      <c r="AI21">
        <v>3588020</v>
      </c>
      <c r="AJ21">
        <v>3720777</v>
      </c>
      <c r="AK21">
        <v>14871020</v>
      </c>
      <c r="AL21">
        <v>19383020</v>
      </c>
    </row>
    <row r="22" spans="1:38">
      <c r="A22" t="s">
        <v>4</v>
      </c>
      <c r="B22" t="s">
        <v>330</v>
      </c>
      <c r="C22">
        <v>54249</v>
      </c>
      <c r="D22">
        <v>4672200</v>
      </c>
      <c r="E22">
        <v>1131000</v>
      </c>
      <c r="F22">
        <v>1017000</v>
      </c>
      <c r="G22">
        <v>942000</v>
      </c>
      <c r="H22">
        <v>867000</v>
      </c>
      <c r="I22">
        <v>899079</v>
      </c>
      <c r="J22">
        <v>932345</v>
      </c>
      <c r="K22">
        <v>10460624</v>
      </c>
      <c r="M22">
        <v>4672878</v>
      </c>
      <c r="N22">
        <v>1130025</v>
      </c>
      <c r="O22">
        <v>1016816</v>
      </c>
      <c r="P22">
        <v>942080</v>
      </c>
      <c r="Q22">
        <v>867510</v>
      </c>
      <c r="R22">
        <v>899640</v>
      </c>
      <c r="S22">
        <v>931056</v>
      </c>
      <c r="T22">
        <v>10460005</v>
      </c>
      <c r="V22">
        <v>-678</v>
      </c>
      <c r="W22">
        <v>975</v>
      </c>
      <c r="X22">
        <v>184</v>
      </c>
      <c r="Y22">
        <v>-80</v>
      </c>
      <c r="Z22">
        <v>-510</v>
      </c>
      <c r="AA22">
        <v>-561</v>
      </c>
      <c r="AB22">
        <v>1289</v>
      </c>
      <c r="AD22">
        <v>4672200</v>
      </c>
      <c r="AE22">
        <v>1131000</v>
      </c>
      <c r="AF22">
        <v>1017000</v>
      </c>
      <c r="AG22">
        <v>942000</v>
      </c>
      <c r="AH22">
        <v>867000</v>
      </c>
      <c r="AI22">
        <v>899079</v>
      </c>
      <c r="AJ22">
        <v>932345</v>
      </c>
      <c r="AK22">
        <v>3725079</v>
      </c>
      <c r="AL22">
        <v>4856079</v>
      </c>
    </row>
    <row r="23" spans="1:38">
      <c r="A23" t="s">
        <v>5</v>
      </c>
      <c r="B23" t="s">
        <v>330</v>
      </c>
      <c r="C23">
        <v>22028</v>
      </c>
      <c r="D23">
        <v>1897000</v>
      </c>
      <c r="E23">
        <v>459000</v>
      </c>
      <c r="F23">
        <v>413000</v>
      </c>
      <c r="G23">
        <v>383000</v>
      </c>
      <c r="H23">
        <v>352000</v>
      </c>
      <c r="I23">
        <v>365024</v>
      </c>
      <c r="J23">
        <v>378530</v>
      </c>
      <c r="K23">
        <v>4247554</v>
      </c>
      <c r="M23">
        <v>1897138</v>
      </c>
      <c r="N23">
        <v>459147</v>
      </c>
      <c r="O23">
        <v>412156</v>
      </c>
      <c r="P23">
        <v>384000</v>
      </c>
      <c r="Q23">
        <v>352512</v>
      </c>
      <c r="R23">
        <v>365568</v>
      </c>
      <c r="S23">
        <v>379848</v>
      </c>
      <c r="T23">
        <v>4250369</v>
      </c>
      <c r="V23">
        <v>-138</v>
      </c>
      <c r="W23">
        <v>-147</v>
      </c>
      <c r="X23">
        <v>844</v>
      </c>
      <c r="Y23">
        <v>-1000</v>
      </c>
      <c r="Z23">
        <v>-512</v>
      </c>
      <c r="AA23">
        <v>-544</v>
      </c>
      <c r="AB23">
        <v>-1318</v>
      </c>
      <c r="AD23">
        <v>1897000</v>
      </c>
      <c r="AE23">
        <v>459000</v>
      </c>
      <c r="AF23">
        <v>413000</v>
      </c>
      <c r="AG23">
        <v>383000</v>
      </c>
      <c r="AH23">
        <v>352000</v>
      </c>
      <c r="AI23">
        <v>365024</v>
      </c>
      <c r="AJ23">
        <v>378530</v>
      </c>
      <c r="AK23">
        <v>1513024</v>
      </c>
      <c r="AL23">
        <v>1972024</v>
      </c>
    </row>
    <row r="24" spans="1:38">
      <c r="A24" t="s">
        <v>7</v>
      </c>
      <c r="B24" t="s">
        <v>330</v>
      </c>
      <c r="C24">
        <v>5847</v>
      </c>
      <c r="D24">
        <v>504000</v>
      </c>
      <c r="E24">
        <v>122000</v>
      </c>
      <c r="F24">
        <v>110000</v>
      </c>
      <c r="G24">
        <v>102000</v>
      </c>
      <c r="H24">
        <v>93000</v>
      </c>
      <c r="I24">
        <v>96441</v>
      </c>
      <c r="J24">
        <v>100009</v>
      </c>
      <c r="K24">
        <v>1127450</v>
      </c>
      <c r="M24">
        <v>504680</v>
      </c>
      <c r="N24">
        <v>121329</v>
      </c>
      <c r="O24">
        <v>111060</v>
      </c>
      <c r="P24">
        <v>102400</v>
      </c>
      <c r="Q24">
        <v>93636</v>
      </c>
      <c r="R24">
        <v>97104</v>
      </c>
      <c r="S24">
        <v>99960</v>
      </c>
      <c r="T24">
        <v>1130169</v>
      </c>
      <c r="V24">
        <v>-680</v>
      </c>
      <c r="W24">
        <v>671</v>
      </c>
      <c r="X24">
        <v>-1060</v>
      </c>
      <c r="Y24">
        <v>-400</v>
      </c>
      <c r="Z24">
        <v>-636</v>
      </c>
      <c r="AA24">
        <v>-663</v>
      </c>
      <c r="AB24">
        <v>49</v>
      </c>
      <c r="AD24">
        <v>504000</v>
      </c>
      <c r="AE24">
        <v>122000</v>
      </c>
      <c r="AF24">
        <v>110000</v>
      </c>
      <c r="AG24">
        <v>102000</v>
      </c>
      <c r="AH24">
        <v>93000</v>
      </c>
      <c r="AI24">
        <v>96441</v>
      </c>
      <c r="AJ24">
        <v>100009</v>
      </c>
      <c r="AK24">
        <v>401441</v>
      </c>
      <c r="AL24">
        <v>523441</v>
      </c>
    </row>
    <row r="25" spans="1:38">
      <c r="A25" t="s">
        <v>8</v>
      </c>
      <c r="B25" t="s">
        <v>330</v>
      </c>
      <c r="C25">
        <v>9558</v>
      </c>
      <c r="D25">
        <v>0</v>
      </c>
      <c r="E25">
        <v>199000</v>
      </c>
      <c r="F25">
        <v>179000</v>
      </c>
      <c r="G25">
        <v>166000</v>
      </c>
      <c r="H25">
        <v>153000</v>
      </c>
      <c r="I25">
        <v>158661</v>
      </c>
      <c r="J25">
        <v>164531</v>
      </c>
      <c r="K25">
        <v>1020192</v>
      </c>
      <c r="M25">
        <v>0</v>
      </c>
      <c r="N25">
        <v>199836</v>
      </c>
      <c r="O25">
        <v>180164</v>
      </c>
      <c r="P25">
        <v>166400</v>
      </c>
      <c r="Q25">
        <v>154224</v>
      </c>
      <c r="R25">
        <v>159936</v>
      </c>
      <c r="S25">
        <v>165648</v>
      </c>
      <c r="T25">
        <v>1026208</v>
      </c>
      <c r="V25">
        <v>0</v>
      </c>
      <c r="W25">
        <v>-836</v>
      </c>
      <c r="X25">
        <v>-1164</v>
      </c>
      <c r="Y25">
        <v>-400</v>
      </c>
      <c r="Z25">
        <v>-1224</v>
      </c>
      <c r="AA25">
        <v>-1275</v>
      </c>
      <c r="AB25">
        <v>-1117</v>
      </c>
      <c r="AD25">
        <v>0</v>
      </c>
      <c r="AE25">
        <v>199000</v>
      </c>
      <c r="AF25">
        <v>179000</v>
      </c>
      <c r="AG25">
        <v>166000</v>
      </c>
      <c r="AH25">
        <v>153000</v>
      </c>
      <c r="AI25">
        <v>158661</v>
      </c>
      <c r="AJ25">
        <v>164531</v>
      </c>
      <c r="AK25">
        <v>656661</v>
      </c>
      <c r="AL25">
        <v>855661</v>
      </c>
    </row>
    <row r="26" spans="1:38">
      <c r="A26" t="s">
        <v>9</v>
      </c>
      <c r="B26" t="s">
        <v>330</v>
      </c>
      <c r="C26">
        <v>11442</v>
      </c>
      <c r="D26">
        <v>985000</v>
      </c>
      <c r="E26">
        <v>238000</v>
      </c>
      <c r="F26">
        <v>215000</v>
      </c>
      <c r="G26">
        <v>199000</v>
      </c>
      <c r="H26">
        <v>183000</v>
      </c>
      <c r="I26">
        <v>189771</v>
      </c>
      <c r="J26">
        <v>196793</v>
      </c>
      <c r="K26">
        <v>2206564</v>
      </c>
      <c r="M26">
        <v>984126</v>
      </c>
      <c r="N26">
        <v>237900</v>
      </c>
      <c r="O26">
        <v>214716</v>
      </c>
      <c r="P26">
        <v>199680</v>
      </c>
      <c r="Q26">
        <v>181764</v>
      </c>
      <c r="R26">
        <v>188496</v>
      </c>
      <c r="S26">
        <v>197064</v>
      </c>
      <c r="T26">
        <v>2203746</v>
      </c>
      <c r="V26">
        <v>874</v>
      </c>
      <c r="W26">
        <v>100</v>
      </c>
      <c r="X26">
        <v>284</v>
      </c>
      <c r="Y26">
        <v>-680</v>
      </c>
      <c r="Z26">
        <v>1236</v>
      </c>
      <c r="AA26">
        <v>1275</v>
      </c>
      <c r="AB26">
        <v>-271</v>
      </c>
      <c r="AD26">
        <v>985000</v>
      </c>
      <c r="AE26">
        <v>238000</v>
      </c>
      <c r="AF26">
        <v>215000</v>
      </c>
      <c r="AG26">
        <v>199000</v>
      </c>
      <c r="AH26">
        <v>183000</v>
      </c>
      <c r="AI26">
        <v>189771</v>
      </c>
      <c r="AJ26">
        <v>196793</v>
      </c>
      <c r="AK26">
        <v>786771</v>
      </c>
      <c r="AL26">
        <v>1024771</v>
      </c>
    </row>
    <row r="27" spans="1:38">
      <c r="A27" t="s">
        <v>93</v>
      </c>
      <c r="B27" t="s">
        <v>330</v>
      </c>
      <c r="C27">
        <v>14079</v>
      </c>
      <c r="D27">
        <v>1213000</v>
      </c>
      <c r="E27">
        <v>293000</v>
      </c>
      <c r="F27">
        <v>264000</v>
      </c>
      <c r="G27">
        <v>245000</v>
      </c>
      <c r="H27">
        <v>225000</v>
      </c>
      <c r="I27">
        <v>233325</v>
      </c>
      <c r="J27">
        <v>241958</v>
      </c>
      <c r="K27">
        <v>2715283</v>
      </c>
      <c r="M27">
        <v>1213526</v>
      </c>
      <c r="N27">
        <v>292617</v>
      </c>
      <c r="O27">
        <v>264076</v>
      </c>
      <c r="P27">
        <v>245760</v>
      </c>
      <c r="Q27">
        <v>225828</v>
      </c>
      <c r="R27">
        <v>234192</v>
      </c>
      <c r="S27">
        <v>242760</v>
      </c>
      <c r="T27">
        <v>2718759</v>
      </c>
      <c r="V27">
        <v>-526</v>
      </c>
      <c r="W27">
        <v>383</v>
      </c>
      <c r="X27">
        <v>-76</v>
      </c>
      <c r="Y27">
        <v>-760</v>
      </c>
      <c r="Z27">
        <v>-828</v>
      </c>
      <c r="AA27">
        <v>-867</v>
      </c>
      <c r="AB27">
        <v>-802</v>
      </c>
      <c r="AD27">
        <v>1213000</v>
      </c>
      <c r="AE27">
        <v>293000</v>
      </c>
      <c r="AF27">
        <v>264000</v>
      </c>
      <c r="AG27">
        <v>245000</v>
      </c>
      <c r="AH27">
        <v>225000</v>
      </c>
      <c r="AI27">
        <v>233325</v>
      </c>
      <c r="AJ27">
        <v>241958</v>
      </c>
      <c r="AK27">
        <v>967325</v>
      </c>
      <c r="AL27">
        <v>1260325</v>
      </c>
    </row>
    <row r="28" spans="1:38">
      <c r="A28" t="s">
        <v>11</v>
      </c>
      <c r="B28" t="s">
        <v>330</v>
      </c>
      <c r="C28">
        <v>13492</v>
      </c>
      <c r="D28">
        <v>0</v>
      </c>
      <c r="E28">
        <v>281000</v>
      </c>
      <c r="F28">
        <v>253000</v>
      </c>
      <c r="G28">
        <v>234000</v>
      </c>
      <c r="H28">
        <v>216000</v>
      </c>
      <c r="I28">
        <v>223992</v>
      </c>
      <c r="J28">
        <v>232280</v>
      </c>
      <c r="K28">
        <v>1440272</v>
      </c>
      <c r="M28">
        <v>0</v>
      </c>
      <c r="N28">
        <v>280722</v>
      </c>
      <c r="O28">
        <v>254204</v>
      </c>
      <c r="P28">
        <v>232960</v>
      </c>
      <c r="Q28">
        <v>214812</v>
      </c>
      <c r="R28">
        <v>222768</v>
      </c>
      <c r="S28">
        <v>231336</v>
      </c>
      <c r="T28">
        <v>1436802</v>
      </c>
      <c r="V28">
        <v>0</v>
      </c>
      <c r="W28">
        <v>278</v>
      </c>
      <c r="X28">
        <v>-1204</v>
      </c>
      <c r="Y28">
        <v>1040</v>
      </c>
      <c r="Z28">
        <v>1188</v>
      </c>
      <c r="AA28">
        <v>1224</v>
      </c>
      <c r="AB28">
        <v>944</v>
      </c>
      <c r="AD28">
        <v>0</v>
      </c>
      <c r="AE28">
        <v>281000</v>
      </c>
      <c r="AF28">
        <v>253000</v>
      </c>
      <c r="AG28">
        <v>234000</v>
      </c>
      <c r="AH28">
        <v>216000</v>
      </c>
      <c r="AI28">
        <v>223992</v>
      </c>
      <c r="AJ28">
        <v>232280</v>
      </c>
      <c r="AK28">
        <v>926992</v>
      </c>
      <c r="AL28">
        <v>1207992</v>
      </c>
    </row>
    <row r="29" spans="1:38">
      <c r="A29" t="s">
        <v>12</v>
      </c>
      <c r="B29" t="s">
        <v>330</v>
      </c>
      <c r="C29">
        <v>21678</v>
      </c>
      <c r="D29">
        <v>1867000</v>
      </c>
      <c r="E29">
        <v>452000</v>
      </c>
      <c r="F29">
        <v>407000</v>
      </c>
      <c r="G29">
        <v>376000</v>
      </c>
      <c r="H29">
        <v>346000</v>
      </c>
      <c r="I29">
        <v>358802</v>
      </c>
      <c r="J29">
        <v>372078</v>
      </c>
      <c r="K29">
        <v>4178880</v>
      </c>
      <c r="M29">
        <v>1867316</v>
      </c>
      <c r="N29">
        <v>452010</v>
      </c>
      <c r="O29">
        <v>407220</v>
      </c>
      <c r="P29">
        <v>376320</v>
      </c>
      <c r="Q29">
        <v>347004</v>
      </c>
      <c r="R29">
        <v>359856</v>
      </c>
      <c r="S29">
        <v>371280</v>
      </c>
      <c r="T29">
        <v>4181006</v>
      </c>
      <c r="V29">
        <v>-316</v>
      </c>
      <c r="W29">
        <v>-10</v>
      </c>
      <c r="X29">
        <v>-220</v>
      </c>
      <c r="Y29">
        <v>-320</v>
      </c>
      <c r="Z29">
        <v>-1004</v>
      </c>
      <c r="AA29">
        <v>-1054</v>
      </c>
      <c r="AB29">
        <v>798</v>
      </c>
      <c r="AD29">
        <v>1867000</v>
      </c>
      <c r="AE29">
        <v>452000</v>
      </c>
      <c r="AF29">
        <v>407000</v>
      </c>
      <c r="AG29">
        <v>376000</v>
      </c>
      <c r="AH29">
        <v>346000</v>
      </c>
      <c r="AI29">
        <v>358802</v>
      </c>
      <c r="AJ29">
        <v>372078</v>
      </c>
      <c r="AK29">
        <v>1487802</v>
      </c>
      <c r="AL29">
        <v>1939802</v>
      </c>
    </row>
    <row r="30" spans="1:38">
      <c r="A30" t="s">
        <v>13</v>
      </c>
      <c r="B30" t="s">
        <v>330</v>
      </c>
      <c r="C30">
        <v>47142</v>
      </c>
      <c r="D30">
        <v>0</v>
      </c>
      <c r="E30">
        <v>982000</v>
      </c>
      <c r="F30">
        <v>884000</v>
      </c>
      <c r="G30">
        <v>819000</v>
      </c>
      <c r="H30">
        <v>753000</v>
      </c>
      <c r="I30">
        <v>780861</v>
      </c>
      <c r="J30">
        <v>809753</v>
      </c>
      <c r="K30">
        <v>5028614</v>
      </c>
      <c r="M30">
        <v>0</v>
      </c>
      <c r="N30">
        <v>982527</v>
      </c>
      <c r="O30">
        <v>883544</v>
      </c>
      <c r="P30">
        <v>819200</v>
      </c>
      <c r="Q30">
        <v>751842</v>
      </c>
      <c r="R30">
        <v>779688</v>
      </c>
      <c r="S30">
        <v>811104</v>
      </c>
      <c r="T30">
        <v>5027905</v>
      </c>
      <c r="V30">
        <v>0</v>
      </c>
      <c r="W30">
        <v>-527</v>
      </c>
      <c r="X30">
        <v>456</v>
      </c>
      <c r="Y30">
        <v>-200</v>
      </c>
      <c r="Z30">
        <v>1158</v>
      </c>
      <c r="AA30">
        <v>1173</v>
      </c>
      <c r="AB30">
        <v>-1351</v>
      </c>
      <c r="AD30">
        <v>0</v>
      </c>
      <c r="AE30">
        <v>982000</v>
      </c>
      <c r="AF30">
        <v>884000</v>
      </c>
      <c r="AG30">
        <v>819000</v>
      </c>
      <c r="AH30">
        <v>753000</v>
      </c>
      <c r="AI30">
        <v>780861</v>
      </c>
      <c r="AJ30">
        <v>809753</v>
      </c>
      <c r="AK30">
        <v>3236861</v>
      </c>
      <c r="AL30">
        <v>4218861</v>
      </c>
    </row>
    <row r="31" spans="1:38">
      <c r="A31" t="s">
        <v>14</v>
      </c>
      <c r="B31" t="s">
        <v>330</v>
      </c>
      <c r="C31">
        <v>17025</v>
      </c>
      <c r="D31">
        <v>0</v>
      </c>
      <c r="E31">
        <v>355000</v>
      </c>
      <c r="F31">
        <v>319000</v>
      </c>
      <c r="G31">
        <v>296000</v>
      </c>
      <c r="H31">
        <v>272000</v>
      </c>
      <c r="I31">
        <v>282064</v>
      </c>
      <c r="J31">
        <v>292500</v>
      </c>
      <c r="K31">
        <v>1816564</v>
      </c>
      <c r="M31">
        <v>0</v>
      </c>
      <c r="N31">
        <v>354471</v>
      </c>
      <c r="O31">
        <v>318372</v>
      </c>
      <c r="P31">
        <v>296960</v>
      </c>
      <c r="Q31">
        <v>272646</v>
      </c>
      <c r="R31">
        <v>282744</v>
      </c>
      <c r="S31">
        <v>291312</v>
      </c>
      <c r="T31">
        <v>1816505</v>
      </c>
      <c r="V31">
        <v>0</v>
      </c>
      <c r="W31">
        <v>529</v>
      </c>
      <c r="X31">
        <v>628</v>
      </c>
      <c r="Y31">
        <v>-960</v>
      </c>
      <c r="Z31">
        <v>-646</v>
      </c>
      <c r="AA31">
        <v>-680</v>
      </c>
      <c r="AB31">
        <v>1188</v>
      </c>
      <c r="AD31">
        <v>0</v>
      </c>
      <c r="AE31">
        <v>355000</v>
      </c>
      <c r="AF31">
        <v>319000</v>
      </c>
      <c r="AG31">
        <v>296000</v>
      </c>
      <c r="AH31">
        <v>272000</v>
      </c>
      <c r="AI31">
        <v>282064</v>
      </c>
      <c r="AJ31">
        <v>292500</v>
      </c>
      <c r="AK31">
        <v>1169064</v>
      </c>
      <c r="AL31">
        <v>1524064</v>
      </c>
    </row>
    <row r="32" spans="1:38">
      <c r="A32" t="s">
        <v>331</v>
      </c>
      <c r="D32">
        <v>249.35</v>
      </c>
      <c r="E32">
        <v>57.932391999999993</v>
      </c>
      <c r="F32">
        <v>60.075890503999986</v>
      </c>
      <c r="G32">
        <v>62.298698452647983</v>
      </c>
      <c r="H32">
        <v>64.603750295395955</v>
      </c>
      <c r="I32">
        <v>66.994089056325606</v>
      </c>
      <c r="J32">
        <v>69.472870351409654</v>
      </c>
      <c r="M32">
        <v>114</v>
      </c>
      <c r="N32">
        <v>57.932391999999993</v>
      </c>
      <c r="O32">
        <v>60.075890503999986</v>
      </c>
      <c r="P32">
        <v>62.298698452647983</v>
      </c>
      <c r="Q32">
        <v>64.603750295395955</v>
      </c>
      <c r="R32">
        <v>66.994089056325606</v>
      </c>
      <c r="S32">
        <v>69.472870351409654</v>
      </c>
      <c r="AD32">
        <v>114</v>
      </c>
      <c r="AE32">
        <v>57.932391999999993</v>
      </c>
      <c r="AF32">
        <v>60.075890503999986</v>
      </c>
      <c r="AG32">
        <v>62.298698452647983</v>
      </c>
      <c r="AH32">
        <v>64.603750295395955</v>
      </c>
      <c r="AI32">
        <v>66.994089056325606</v>
      </c>
      <c r="AJ32">
        <v>69.472870351409654</v>
      </c>
    </row>
    <row r="33" spans="1:36">
      <c r="A33" t="s">
        <v>332</v>
      </c>
      <c r="D33">
        <v>1.0429999999999999</v>
      </c>
      <c r="E33">
        <v>1.0369999999999999</v>
      </c>
      <c r="F33">
        <v>1.0369999999999999</v>
      </c>
      <c r="G33">
        <v>1.0369999999999999</v>
      </c>
      <c r="H33">
        <v>1.0369999999999999</v>
      </c>
      <c r="I33">
        <v>1.0369999999999999</v>
      </c>
      <c r="J33">
        <v>1.0369999999999999</v>
      </c>
      <c r="M33">
        <v>1.0429999999999999</v>
      </c>
      <c r="N33">
        <v>1.0369999999999999</v>
      </c>
      <c r="O33">
        <v>1.0369999999999999</v>
      </c>
      <c r="P33">
        <v>1.0369999999999999</v>
      </c>
      <c r="Q33">
        <v>1.0369999999999999</v>
      </c>
      <c r="R33">
        <v>1.0369999999999999</v>
      </c>
      <c r="S33">
        <v>1.0369999999999999</v>
      </c>
      <c r="AD33">
        <v>1.0429999999999999</v>
      </c>
      <c r="AE33">
        <v>1.0369999999999999</v>
      </c>
      <c r="AF33">
        <v>1.0369999999999999</v>
      </c>
      <c r="AG33">
        <v>1.0369999999999999</v>
      </c>
      <c r="AH33">
        <v>1.0369999999999999</v>
      </c>
      <c r="AI33">
        <v>1.0369999999999999</v>
      </c>
      <c r="AJ33">
        <v>1.0369999999999999</v>
      </c>
    </row>
    <row r="34" spans="1:36">
      <c r="A34" t="s">
        <v>333</v>
      </c>
      <c r="D34">
        <v>260.07204999999999</v>
      </c>
      <c r="E34">
        <v>60.075890503999986</v>
      </c>
      <c r="F34">
        <v>62.298698452647983</v>
      </c>
      <c r="G34">
        <v>64.603750295395955</v>
      </c>
      <c r="H34">
        <v>66.994089056325606</v>
      </c>
      <c r="I34">
        <v>69.472870351409654</v>
      </c>
      <c r="J34">
        <v>72.043366554411804</v>
      </c>
      <c r="M34">
        <v>118.90199999999999</v>
      </c>
      <c r="N34">
        <v>60.075890503999986</v>
      </c>
      <c r="O34">
        <v>62.298698452647983</v>
      </c>
      <c r="P34">
        <v>64.603750295395955</v>
      </c>
      <c r="Q34">
        <v>66.994089056325606</v>
      </c>
      <c r="R34">
        <v>69.472870351409654</v>
      </c>
      <c r="S34">
        <v>72.043366554411804</v>
      </c>
      <c r="AD34">
        <v>118.90199999999999</v>
      </c>
      <c r="AE34">
        <v>60.075890503999986</v>
      </c>
      <c r="AF34">
        <v>62.298698452647983</v>
      </c>
      <c r="AG34">
        <v>64.603750295395955</v>
      </c>
      <c r="AH34">
        <v>66.994089056325606</v>
      </c>
      <c r="AI34">
        <v>69.472870351409654</v>
      </c>
      <c r="AJ34">
        <v>72.043366554411804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"/>
  <sheetViews>
    <sheetView tabSelected="1" zoomScale="90" workbookViewId="0">
      <pane xSplit="1" ySplit="4" topLeftCell="B5" activePane="bottomRight" state="frozen"/>
      <selection activeCell="AA20" activeCellId="9" sqref="D23:D31 D20 F23:F31 F20 W23:W31 W20 Y23:Y31 Y20 AA23:AA31 AA20"/>
      <selection pane="topRight"/>
      <selection pane="bottomLeft"/>
      <selection pane="bottomRight" activeCell="S7" sqref="S7"/>
    </sheetView>
  </sheetViews>
  <sheetFormatPr defaultColWidth="8.85546875" defaultRowHeight="13.5" customHeight="1"/>
  <cols>
    <col min="1" max="1" width="49" style="515" customWidth="1"/>
    <col min="2" max="2" width="19" style="515" customWidth="1"/>
    <col min="3" max="3" width="14.42578125" style="516" customWidth="1"/>
    <col min="4" max="4" width="12.140625" style="516" bestFit="1" customWidth="1"/>
    <col min="5" max="5" width="12.140625" style="516" customWidth="1"/>
    <col min="6" max="6" width="10.5703125" style="516" bestFit="1" customWidth="1"/>
    <col min="7" max="8" width="13.28515625" style="517" customWidth="1"/>
    <col min="9" max="9" width="10.5703125" style="517" bestFit="1" customWidth="1"/>
    <col min="10" max="11" width="12.7109375" style="516" customWidth="1"/>
    <col min="12" max="12" width="10.5703125" style="516" bestFit="1" customWidth="1"/>
    <col min="13" max="14" width="13" style="518" customWidth="1"/>
    <col min="15" max="15" width="10.5703125" style="518" bestFit="1" customWidth="1"/>
    <col min="16" max="16" width="13.28515625" style="516" customWidth="1"/>
    <col min="17" max="17" width="16.28515625" style="465" customWidth="1"/>
    <col min="18" max="19" width="13.85546875" style="466" customWidth="1"/>
    <col min="20" max="20" width="24" style="466" customWidth="1"/>
    <col min="21" max="21" width="24.28515625" style="466" customWidth="1"/>
    <col min="22" max="16384" width="8.85546875" style="466"/>
  </cols>
  <sheetData>
    <row r="1" spans="1:20" ht="18" hidden="1" customHeight="1">
      <c r="A1" s="459"/>
      <c r="B1" s="459"/>
      <c r="C1" s="460"/>
      <c r="D1" s="461">
        <v>3520</v>
      </c>
      <c r="E1" s="461"/>
      <c r="F1" s="461"/>
      <c r="G1" s="462"/>
      <c r="H1" s="462"/>
      <c r="I1" s="462"/>
      <c r="J1" s="461"/>
      <c r="K1" s="461"/>
      <c r="L1" s="461"/>
      <c r="M1" s="463"/>
      <c r="N1" s="463"/>
      <c r="O1" s="463"/>
      <c r="P1" s="464"/>
    </row>
    <row r="2" spans="1:20" ht="18" customHeight="1">
      <c r="A2" s="459"/>
      <c r="B2" s="459"/>
      <c r="C2" s="460"/>
      <c r="D2" s="467">
        <v>2025</v>
      </c>
      <c r="E2" s="468">
        <v>2026</v>
      </c>
      <c r="F2" s="469"/>
      <c r="G2" s="470"/>
      <c r="H2" s="471">
        <v>2027</v>
      </c>
      <c r="I2" s="472"/>
      <c r="J2" s="473"/>
      <c r="K2" s="468">
        <v>2028</v>
      </c>
      <c r="L2" s="469"/>
      <c r="M2" s="470"/>
      <c r="N2" s="474">
        <v>2029</v>
      </c>
      <c r="O2" s="475"/>
      <c r="P2" s="476"/>
    </row>
    <row r="3" spans="1:20" ht="27" customHeight="1">
      <c r="A3" s="361" t="s">
        <v>359</v>
      </c>
      <c r="B3" s="361"/>
      <c r="C3" s="477"/>
      <c r="D3" s="478">
        <v>3220</v>
      </c>
      <c r="E3" s="479"/>
      <c r="F3" s="479"/>
      <c r="G3" s="480">
        <v>3357</v>
      </c>
      <c r="H3" s="481"/>
      <c r="I3" s="481"/>
      <c r="J3" s="482">
        <v>3485</v>
      </c>
      <c r="K3" s="483"/>
      <c r="L3" s="483"/>
      <c r="M3" s="484">
        <v>3617</v>
      </c>
      <c r="N3" s="485"/>
      <c r="O3" s="485"/>
      <c r="P3" s="478">
        <v>3754</v>
      </c>
    </row>
    <row r="4" spans="1:20" ht="51" customHeight="1">
      <c r="A4" s="360"/>
      <c r="B4" s="363" t="s">
        <v>345</v>
      </c>
      <c r="C4" s="362" t="s">
        <v>348</v>
      </c>
      <c r="D4" s="362" t="s">
        <v>347</v>
      </c>
      <c r="E4" s="362" t="s">
        <v>357</v>
      </c>
      <c r="F4" s="362" t="s">
        <v>348</v>
      </c>
      <c r="G4" s="362" t="s">
        <v>347</v>
      </c>
      <c r="H4" s="362" t="s">
        <v>354</v>
      </c>
      <c r="I4" s="362" t="s">
        <v>348</v>
      </c>
      <c r="J4" s="362" t="s">
        <v>347</v>
      </c>
      <c r="K4" s="362" t="s">
        <v>355</v>
      </c>
      <c r="L4" s="362" t="s">
        <v>348</v>
      </c>
      <c r="M4" s="362" t="s">
        <v>347</v>
      </c>
      <c r="N4" s="362" t="s">
        <v>356</v>
      </c>
      <c r="O4" s="362" t="s">
        <v>348</v>
      </c>
      <c r="P4" s="362" t="s">
        <v>347</v>
      </c>
      <c r="Q4" s="363" t="s">
        <v>358</v>
      </c>
      <c r="R4" s="363" t="s">
        <v>353</v>
      </c>
      <c r="S4" s="363" t="s">
        <v>360</v>
      </c>
      <c r="T4" s="486" t="s">
        <v>346</v>
      </c>
    </row>
    <row r="5" spans="1:20" ht="48.75" customHeight="1">
      <c r="A5" s="487" t="s">
        <v>336</v>
      </c>
      <c r="B5" s="488">
        <v>15371760</v>
      </c>
      <c r="C5" s="489">
        <f>B5/3371</f>
        <v>4560</v>
      </c>
      <c r="D5" s="479">
        <f>C5*$D$3</f>
        <v>14683200</v>
      </c>
      <c r="E5" s="479">
        <v>16758000</v>
      </c>
      <c r="F5" s="479">
        <f>E5/3675</f>
        <v>4560</v>
      </c>
      <c r="G5" s="490">
        <f>F5*G3</f>
        <v>15307920</v>
      </c>
      <c r="H5" s="479">
        <v>18180720</v>
      </c>
      <c r="I5" s="479">
        <f>H5/3987</f>
        <v>4560</v>
      </c>
      <c r="J5" s="490">
        <f>I5*J3</f>
        <v>15891600</v>
      </c>
      <c r="K5" s="479">
        <v>19690080</v>
      </c>
      <c r="L5" s="479">
        <f>K5/4318</f>
        <v>4560</v>
      </c>
      <c r="M5" s="490">
        <f>L5*M3</f>
        <v>16493520</v>
      </c>
      <c r="N5" s="479">
        <v>21204000</v>
      </c>
      <c r="O5" s="479">
        <f>N5/4650</f>
        <v>4560</v>
      </c>
      <c r="P5" s="490">
        <f>O5*P3</f>
        <v>17118240</v>
      </c>
      <c r="Q5" s="488">
        <v>14683200</v>
      </c>
      <c r="R5" s="491">
        <v>14683200</v>
      </c>
      <c r="S5" s="492">
        <f>G5+J5+M5+P5</f>
        <v>64811280</v>
      </c>
      <c r="T5" s="493" t="s">
        <v>349</v>
      </c>
    </row>
    <row r="6" spans="1:20" ht="48.75" customHeight="1">
      <c r="A6" s="487" t="s">
        <v>342</v>
      </c>
      <c r="B6" s="488">
        <v>59221728</v>
      </c>
      <c r="C6" s="489">
        <f t="shared" ref="C6:C12" si="0">B6/3371</f>
        <v>17568</v>
      </c>
      <c r="D6" s="479">
        <f t="shared" ref="D6:D14" si="1">C6*$D$3</f>
        <v>56568960</v>
      </c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  <c r="Q6" s="488">
        <v>59221728</v>
      </c>
      <c r="R6" s="491">
        <f>D6</f>
        <v>56568960</v>
      </c>
      <c r="S6" s="492"/>
      <c r="T6" s="493"/>
    </row>
    <row r="7" spans="1:20" ht="48.75" customHeight="1">
      <c r="A7" s="487" t="s">
        <v>343</v>
      </c>
      <c r="B7" s="488">
        <v>27503989</v>
      </c>
      <c r="C7" s="489">
        <f t="shared" si="0"/>
        <v>8159</v>
      </c>
      <c r="D7" s="479">
        <f t="shared" si="1"/>
        <v>26271980</v>
      </c>
      <c r="E7" s="479">
        <v>41748000</v>
      </c>
      <c r="F7" s="479">
        <f>E7/3675</f>
        <v>11360</v>
      </c>
      <c r="G7" s="490">
        <f>F7*G3</f>
        <v>38135520</v>
      </c>
      <c r="H7" s="479">
        <v>42377823</v>
      </c>
      <c r="I7" s="479">
        <f>H7/3987</f>
        <v>10629</v>
      </c>
      <c r="J7" s="490">
        <f>I7*J3</f>
        <v>37042065</v>
      </c>
      <c r="K7" s="479">
        <v>45896022</v>
      </c>
      <c r="L7" s="479">
        <f>K7/4318</f>
        <v>10629</v>
      </c>
      <c r="M7" s="490">
        <f>L7*M3</f>
        <v>38445093</v>
      </c>
      <c r="N7" s="479">
        <v>49429500</v>
      </c>
      <c r="O7" s="479">
        <f>N7/4650</f>
        <v>10630</v>
      </c>
      <c r="P7" s="490">
        <f>O7*P3</f>
        <v>39905020</v>
      </c>
      <c r="Q7" s="488">
        <v>26271980</v>
      </c>
      <c r="R7" s="491">
        <v>26271980</v>
      </c>
      <c r="S7" s="492">
        <f>G7+J7+M7+P7</f>
        <v>153527698</v>
      </c>
      <c r="T7" s="493" t="s">
        <v>349</v>
      </c>
    </row>
    <row r="8" spans="1:20" ht="48.75" customHeight="1">
      <c r="A8" s="487" t="s">
        <v>337</v>
      </c>
      <c r="B8" s="488">
        <v>67605120</v>
      </c>
      <c r="C8" s="494">
        <f>B8/3371</f>
        <v>20054.915455354494</v>
      </c>
      <c r="D8" s="479">
        <f>C8*$D$3</f>
        <v>64576827.766241468</v>
      </c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479"/>
      <c r="Q8" s="488">
        <v>64576828</v>
      </c>
      <c r="R8" s="491">
        <v>64576828</v>
      </c>
      <c r="S8" s="492"/>
      <c r="T8" s="493" t="s">
        <v>349</v>
      </c>
    </row>
    <row r="9" spans="1:20" ht="48.75" customHeight="1">
      <c r="A9" s="487" t="s">
        <v>338</v>
      </c>
      <c r="B9" s="488">
        <f>24999336+10000000</f>
        <v>34999336</v>
      </c>
      <c r="C9" s="489">
        <f>(B9-10000000)/3371</f>
        <v>7416</v>
      </c>
      <c r="D9" s="479">
        <f t="shared" si="1"/>
        <v>23879520</v>
      </c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479"/>
      <c r="Q9" s="488">
        <v>34999336</v>
      </c>
      <c r="R9" s="491">
        <f>D9+10000000</f>
        <v>33879520</v>
      </c>
      <c r="S9" s="492"/>
      <c r="T9" s="495"/>
    </row>
    <row r="10" spans="1:20" ht="48.75" customHeight="1">
      <c r="A10" s="487" t="s">
        <v>339</v>
      </c>
      <c r="B10" s="488">
        <v>5997009</v>
      </c>
      <c r="C10" s="489">
        <f t="shared" si="0"/>
        <v>1779</v>
      </c>
      <c r="D10" s="479">
        <f t="shared" si="1"/>
        <v>5728380</v>
      </c>
      <c r="E10" s="479"/>
      <c r="F10" s="479"/>
      <c r="G10" s="479"/>
      <c r="H10" s="479"/>
      <c r="I10" s="479"/>
      <c r="J10" s="479"/>
      <c r="K10" s="479"/>
      <c r="L10" s="479"/>
      <c r="M10" s="479"/>
      <c r="N10" s="479"/>
      <c r="O10" s="479"/>
      <c r="P10" s="479"/>
      <c r="Q10" s="488">
        <v>5997009</v>
      </c>
      <c r="R10" s="491">
        <f>D10</f>
        <v>5728380</v>
      </c>
      <c r="S10" s="492"/>
      <c r="T10" s="495"/>
    </row>
    <row r="11" spans="1:20" ht="48.75" customHeight="1">
      <c r="A11" s="487" t="s">
        <v>340</v>
      </c>
      <c r="B11" s="488">
        <v>8771342</v>
      </c>
      <c r="C11" s="489">
        <f t="shared" si="0"/>
        <v>2602</v>
      </c>
      <c r="D11" s="479">
        <f t="shared" si="1"/>
        <v>8378440</v>
      </c>
      <c r="E11" s="479"/>
      <c r="F11" s="479"/>
      <c r="G11" s="479"/>
      <c r="H11" s="479"/>
      <c r="I11" s="479"/>
      <c r="J11" s="479"/>
      <c r="K11" s="479"/>
      <c r="L11" s="479"/>
      <c r="M11" s="479"/>
      <c r="N11" s="479"/>
      <c r="O11" s="479"/>
      <c r="P11" s="479"/>
      <c r="Q11" s="488">
        <v>8771342</v>
      </c>
      <c r="R11" s="491">
        <v>8378440</v>
      </c>
      <c r="S11" s="492"/>
      <c r="T11" s="493" t="s">
        <v>349</v>
      </c>
    </row>
    <row r="12" spans="1:20" ht="48.75" customHeight="1">
      <c r="A12" s="487" t="s">
        <v>341</v>
      </c>
      <c r="B12" s="488">
        <v>19113570</v>
      </c>
      <c r="C12" s="489">
        <f t="shared" si="0"/>
        <v>5670</v>
      </c>
      <c r="D12" s="479">
        <f t="shared" si="1"/>
        <v>18257400</v>
      </c>
      <c r="E12" s="496"/>
      <c r="F12" s="496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7">
        <v>19113570</v>
      </c>
      <c r="R12" s="491">
        <v>18257400</v>
      </c>
      <c r="S12" s="492"/>
      <c r="T12" s="493" t="s">
        <v>349</v>
      </c>
    </row>
    <row r="13" spans="1:20" ht="48" customHeight="1">
      <c r="A13" s="487" t="s">
        <v>344</v>
      </c>
      <c r="B13" s="488">
        <v>480000</v>
      </c>
      <c r="C13" s="489" t="s">
        <v>6</v>
      </c>
      <c r="D13" s="498">
        <v>480000</v>
      </c>
      <c r="E13" s="499"/>
      <c r="F13" s="500"/>
      <c r="G13" s="501"/>
      <c r="H13" s="502"/>
      <c r="I13" s="501"/>
      <c r="J13" s="500"/>
      <c r="K13" s="503"/>
      <c r="L13" s="500"/>
      <c r="M13" s="504"/>
      <c r="N13" s="505"/>
      <c r="O13" s="504"/>
      <c r="P13" s="500"/>
      <c r="Q13" s="488">
        <v>480000</v>
      </c>
      <c r="R13" s="491">
        <f>D13</f>
        <v>480000</v>
      </c>
      <c r="S13" s="492"/>
      <c r="T13" s="493" t="s">
        <v>350</v>
      </c>
    </row>
    <row r="14" spans="1:20" ht="56.25" customHeight="1">
      <c r="A14" s="506" t="s">
        <v>352</v>
      </c>
      <c r="B14" s="488">
        <v>6074542</v>
      </c>
      <c r="C14" s="489">
        <f>B14/3371</f>
        <v>1802</v>
      </c>
      <c r="D14" s="507">
        <f t="shared" si="1"/>
        <v>5802440</v>
      </c>
      <c r="E14" s="499">
        <v>6622350</v>
      </c>
      <c r="F14" s="499">
        <f>E14/3675</f>
        <v>1802</v>
      </c>
      <c r="G14" s="508">
        <f>F14*G3</f>
        <v>6049314</v>
      </c>
      <c r="H14" s="509">
        <v>7184574</v>
      </c>
      <c r="I14" s="499">
        <f>H14/3987</f>
        <v>1802</v>
      </c>
      <c r="J14" s="508">
        <f>I14*J3</f>
        <v>6279970</v>
      </c>
      <c r="K14" s="510">
        <v>7781036</v>
      </c>
      <c r="L14" s="499">
        <f>K14/4318</f>
        <v>1802</v>
      </c>
      <c r="M14" s="511">
        <f>L14*M3</f>
        <v>6517834</v>
      </c>
      <c r="N14" s="512">
        <v>8379300</v>
      </c>
      <c r="O14" s="499">
        <f>N14/4650</f>
        <v>1802</v>
      </c>
      <c r="P14" s="513">
        <f>O14*P3</f>
        <v>6764708</v>
      </c>
      <c r="Q14" s="514" t="s">
        <v>6</v>
      </c>
      <c r="R14" s="491">
        <f>D14</f>
        <v>5802440</v>
      </c>
      <c r="S14" s="492">
        <f>G14+J14+M14+P14</f>
        <v>25611826</v>
      </c>
      <c r="T14" s="493" t="s">
        <v>351</v>
      </c>
    </row>
  </sheetData>
  <mergeCells count="4">
    <mergeCell ref="E2:G2"/>
    <mergeCell ref="H2:J2"/>
    <mergeCell ref="K2:M2"/>
    <mergeCell ref="N2:P2"/>
  </mergeCells>
  <pageMargins left="0.70866141732283461" right="0.6692913385826772" top="0.23622047244094491" bottom="0.31496062992125984" header="0.31496062992125984" footer="0.31496062992125984"/>
  <pageSetup paperSize="8" scale="58" fitToHeight="0" orientation="landscape" useFirstPageNumber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N191"/>
  <sheetViews>
    <sheetView zoomScale="70" workbookViewId="0">
      <pane xSplit="10" ySplit="13" topLeftCell="K65" activePane="bottomRight" state="frozen"/>
      <selection activeCell="K14" sqref="K14"/>
      <selection pane="topRight"/>
      <selection pane="bottomLeft"/>
      <selection pane="bottomRight" activeCell="K14" sqref="K14"/>
    </sheetView>
  </sheetViews>
  <sheetFormatPr defaultColWidth="8.85546875" defaultRowHeight="13.5" customHeight="1" outlineLevelRow="2"/>
  <cols>
    <col min="1" max="1" width="4.7109375" customWidth="1"/>
    <col min="2" max="2" width="65" customWidth="1"/>
    <col min="3" max="3" width="20" style="26" hidden="1" customWidth="1"/>
    <col min="4" max="4" width="15.42578125" style="26" hidden="1" customWidth="1"/>
    <col min="5" max="5" width="15.85546875" style="26" customWidth="1"/>
    <col min="6" max="9" width="16.85546875" style="26" customWidth="1"/>
    <col min="10" max="10" width="18.85546875" style="26" customWidth="1"/>
    <col min="13" max="14" width="13.140625" bestFit="1" customWidth="1"/>
  </cols>
  <sheetData>
    <row r="1" spans="1:10" ht="13.5" customHeight="1">
      <c r="A1" s="27"/>
      <c r="B1" s="27"/>
      <c r="C1" s="27"/>
      <c r="D1" s="27"/>
      <c r="E1" s="27"/>
      <c r="F1" s="27"/>
      <c r="G1" s="27"/>
      <c r="H1" s="28" t="s">
        <v>46</v>
      </c>
      <c r="I1" s="29" t="s">
        <v>47</v>
      </c>
      <c r="J1" s="27"/>
    </row>
    <row r="2" spans="1:10" ht="13.5" customHeight="1">
      <c r="A2" s="27"/>
      <c r="B2" s="27"/>
      <c r="C2" s="27"/>
      <c r="D2" s="27"/>
      <c r="E2" s="27"/>
      <c r="F2" s="27"/>
      <c r="G2" s="27"/>
      <c r="H2" s="28"/>
      <c r="I2" s="28" t="s">
        <v>49</v>
      </c>
      <c r="J2" s="27"/>
    </row>
    <row r="3" spans="1:10" ht="13.5" customHeight="1">
      <c r="A3" s="27"/>
      <c r="B3" s="27"/>
      <c r="C3" s="27"/>
      <c r="D3" s="27"/>
      <c r="E3" s="27"/>
      <c r="F3" s="27"/>
      <c r="G3" s="27"/>
      <c r="H3" s="28"/>
      <c r="I3" s="28" t="s">
        <v>50</v>
      </c>
      <c r="J3" s="27"/>
    </row>
    <row r="4" spans="1:10" ht="13.5" customHeight="1">
      <c r="A4" s="27"/>
      <c r="B4" s="27"/>
      <c r="C4" s="27"/>
      <c r="D4" s="27"/>
      <c r="E4" s="27"/>
      <c r="F4" s="27"/>
      <c r="G4" s="27"/>
      <c r="H4" s="28"/>
      <c r="I4" s="28" t="s">
        <v>51</v>
      </c>
      <c r="J4" s="27"/>
    </row>
    <row r="5" spans="1:10" ht="13.5" customHeight="1">
      <c r="A5" s="364" t="s">
        <v>165</v>
      </c>
      <c r="B5" s="365"/>
      <c r="C5" s="365"/>
      <c r="D5" s="365"/>
      <c r="E5" s="365"/>
      <c r="F5" s="365"/>
      <c r="G5" s="365"/>
      <c r="H5" s="365"/>
      <c r="I5" s="365"/>
      <c r="J5" s="365"/>
    </row>
    <row r="6" spans="1:10" ht="13.5" customHeight="1">
      <c r="A6" s="365"/>
      <c r="B6" s="365"/>
      <c r="C6" s="365"/>
      <c r="D6" s="365"/>
      <c r="E6" s="365"/>
      <c r="F6" s="365"/>
      <c r="G6" s="365"/>
      <c r="H6" s="365"/>
      <c r="I6" s="365"/>
      <c r="J6" s="365"/>
    </row>
    <row r="7" spans="1:10" ht="13.5" customHeight="1">
      <c r="A7" s="365"/>
      <c r="B7" s="365"/>
      <c r="C7" s="365"/>
      <c r="D7" s="365"/>
      <c r="E7" s="365"/>
      <c r="F7" s="365"/>
      <c r="G7" s="365"/>
      <c r="H7" s="365"/>
      <c r="I7" s="365"/>
      <c r="J7" s="365"/>
    </row>
    <row r="8" spans="1:10" ht="13.5" customHeight="1">
      <c r="A8" s="365"/>
      <c r="B8" s="365"/>
      <c r="C8" s="365"/>
      <c r="D8" s="365"/>
      <c r="E8" s="365"/>
      <c r="F8" s="365"/>
      <c r="G8" s="365"/>
      <c r="H8" s="365"/>
      <c r="I8" s="365"/>
      <c r="J8" s="365"/>
    </row>
    <row r="9" spans="1:10" ht="13.5" customHeight="1">
      <c r="A9" s="365"/>
      <c r="B9" s="365"/>
      <c r="C9" s="365"/>
      <c r="D9" s="365"/>
      <c r="E9" s="365"/>
      <c r="F9" s="365"/>
      <c r="G9" s="365"/>
      <c r="H9" s="365"/>
      <c r="I9" s="365"/>
      <c r="J9" s="365"/>
    </row>
    <row r="10" spans="1:10" ht="13.5" customHeight="1">
      <c r="A10" s="365"/>
      <c r="B10" s="365"/>
      <c r="C10" s="365"/>
      <c r="D10" s="365"/>
      <c r="E10" s="365"/>
      <c r="F10" s="365"/>
      <c r="G10" s="365"/>
      <c r="H10" s="365"/>
      <c r="I10" s="365"/>
      <c r="J10" s="365"/>
    </row>
    <row r="11" spans="1:10" ht="13.5" customHeight="1">
      <c r="A11" s="365"/>
      <c r="B11" s="365"/>
      <c r="C11" s="365"/>
      <c r="D11" s="365"/>
      <c r="E11" s="365"/>
      <c r="F11" s="365"/>
      <c r="G11" s="365"/>
      <c r="H11" s="365"/>
      <c r="I11" s="365"/>
      <c r="J11" s="365"/>
    </row>
    <row r="12" spans="1:10" ht="15">
      <c r="A12" s="366"/>
      <c r="B12" s="366"/>
      <c r="C12" s="366"/>
      <c r="D12" s="366"/>
      <c r="E12" s="366"/>
      <c r="F12" s="366"/>
      <c r="G12" s="366"/>
      <c r="H12" s="366"/>
      <c r="I12" s="366"/>
      <c r="J12" s="366"/>
    </row>
    <row r="13" spans="1:10" ht="13.5" customHeight="1">
      <c r="A13" s="399"/>
      <c r="B13" s="400"/>
      <c r="C13" s="38">
        <v>2022</v>
      </c>
      <c r="D13" s="38">
        <v>2023</v>
      </c>
      <c r="E13" s="37">
        <v>2024</v>
      </c>
      <c r="F13" s="38">
        <v>2025</v>
      </c>
      <c r="G13" s="38">
        <v>2026</v>
      </c>
      <c r="H13" s="38">
        <v>2027</v>
      </c>
      <c r="I13" s="38">
        <v>2028</v>
      </c>
      <c r="J13" s="38" t="s">
        <v>0</v>
      </c>
    </row>
    <row r="14" spans="1:10" ht="59.25" customHeight="1">
      <c r="A14" s="401" t="s">
        <v>67</v>
      </c>
      <c r="B14" s="387" t="s">
        <v>166</v>
      </c>
      <c r="C14" s="388"/>
      <c r="D14" s="388"/>
      <c r="E14" s="388"/>
      <c r="F14" s="388"/>
      <c r="G14" s="388"/>
      <c r="H14" s="388"/>
      <c r="I14" s="388"/>
      <c r="J14" s="388"/>
    </row>
    <row r="15" spans="1:10" s="208" customFormat="1" ht="18.75" outlineLevel="1">
      <c r="A15" s="402"/>
      <c r="B15" s="404" t="s">
        <v>167</v>
      </c>
      <c r="C15" s="405"/>
      <c r="D15" s="405"/>
      <c r="E15" s="405"/>
      <c r="F15" s="405"/>
      <c r="G15" s="405"/>
      <c r="H15" s="405"/>
      <c r="I15" s="405"/>
      <c r="J15" s="406"/>
    </row>
    <row r="16" spans="1:10" ht="15.75" customHeight="1" outlineLevel="1">
      <c r="A16" s="402"/>
      <c r="B16" s="181" t="s">
        <v>16</v>
      </c>
      <c r="C16" s="179">
        <v>4688.3518700000004</v>
      </c>
      <c r="D16" s="179">
        <v>725</v>
      </c>
      <c r="E16" s="179">
        <v>0</v>
      </c>
      <c r="F16" s="179">
        <v>0</v>
      </c>
      <c r="G16" s="179">
        <v>0</v>
      </c>
      <c r="H16" s="179">
        <v>0</v>
      </c>
      <c r="I16" s="179"/>
      <c r="J16" s="11">
        <f t="shared" ref="J16:J17" si="0">SUM(E16:I16)</f>
        <v>0</v>
      </c>
    </row>
    <row r="17" spans="1:10" ht="15.75" customHeight="1" outlineLevel="1">
      <c r="A17" s="402"/>
      <c r="B17" s="181" t="s">
        <v>168</v>
      </c>
      <c r="C17" s="179">
        <v>5456</v>
      </c>
      <c r="D17" s="179">
        <v>880</v>
      </c>
      <c r="E17" s="179">
        <v>0</v>
      </c>
      <c r="F17" s="179">
        <v>0</v>
      </c>
      <c r="G17" s="179">
        <v>0</v>
      </c>
      <c r="H17" s="179">
        <v>0</v>
      </c>
      <c r="I17" s="179"/>
      <c r="J17" s="11">
        <f t="shared" si="0"/>
        <v>0</v>
      </c>
    </row>
    <row r="18" spans="1:10" s="75" customFormat="1" ht="15.75" customHeight="1" outlineLevel="1">
      <c r="A18" s="402"/>
      <c r="B18" s="209" t="s">
        <v>169</v>
      </c>
      <c r="C18" s="105">
        <f t="shared" ref="C18:J18" si="1">SUM(C16:C17)</f>
        <v>10144.35187</v>
      </c>
      <c r="D18" s="105">
        <f t="shared" si="1"/>
        <v>1605</v>
      </c>
      <c r="E18" s="105">
        <f t="shared" si="1"/>
        <v>0</v>
      </c>
      <c r="F18" s="105">
        <f t="shared" si="1"/>
        <v>0</v>
      </c>
      <c r="G18" s="105">
        <f t="shared" si="1"/>
        <v>0</v>
      </c>
      <c r="H18" s="105">
        <f t="shared" si="1"/>
        <v>0</v>
      </c>
      <c r="I18" s="105"/>
      <c r="J18" s="105">
        <f t="shared" si="1"/>
        <v>0</v>
      </c>
    </row>
    <row r="19" spans="1:10" ht="18.75" outlineLevel="1">
      <c r="A19" s="402"/>
      <c r="B19" s="404" t="s">
        <v>170</v>
      </c>
      <c r="C19" s="405"/>
      <c r="D19" s="405"/>
      <c r="E19" s="405"/>
      <c r="F19" s="405"/>
      <c r="G19" s="405"/>
      <c r="H19" s="405"/>
      <c r="I19" s="405"/>
      <c r="J19" s="406"/>
    </row>
    <row r="20" spans="1:10" ht="15.75" customHeight="1" outlineLevel="1">
      <c r="A20" s="402"/>
      <c r="B20" s="181" t="s">
        <v>4</v>
      </c>
      <c r="C20" s="179"/>
      <c r="D20" s="179">
        <v>0</v>
      </c>
      <c r="E20" s="179">
        <v>0</v>
      </c>
      <c r="F20" s="179">
        <v>0</v>
      </c>
      <c r="G20" s="179">
        <v>0</v>
      </c>
      <c r="H20" s="179">
        <v>0</v>
      </c>
      <c r="I20" s="179"/>
      <c r="J20" s="11">
        <f t="shared" ref="J20:J29" si="2">SUM(E20:I20)</f>
        <v>0</v>
      </c>
    </row>
    <row r="21" spans="1:10" ht="15.75" customHeight="1" outlineLevel="1">
      <c r="A21" s="402"/>
      <c r="B21" s="181" t="s">
        <v>5</v>
      </c>
      <c r="C21" s="179"/>
      <c r="D21" s="179">
        <v>0</v>
      </c>
      <c r="E21" s="179">
        <v>0</v>
      </c>
      <c r="F21" s="179">
        <v>0</v>
      </c>
      <c r="G21" s="179">
        <v>0</v>
      </c>
      <c r="H21" s="179">
        <v>0</v>
      </c>
      <c r="I21" s="179"/>
      <c r="J21" s="11">
        <f t="shared" si="2"/>
        <v>0</v>
      </c>
    </row>
    <row r="22" spans="1:10" ht="15.75" customHeight="1" outlineLevel="1">
      <c r="A22" s="402"/>
      <c r="B22" s="181" t="s">
        <v>7</v>
      </c>
      <c r="C22" s="179"/>
      <c r="D22" s="179">
        <v>0</v>
      </c>
      <c r="E22" s="179">
        <v>0</v>
      </c>
      <c r="F22" s="179">
        <v>0</v>
      </c>
      <c r="G22" s="179">
        <v>0</v>
      </c>
      <c r="H22" s="179">
        <v>0</v>
      </c>
      <c r="I22" s="179"/>
      <c r="J22" s="11">
        <f t="shared" si="2"/>
        <v>0</v>
      </c>
    </row>
    <row r="23" spans="1:10" ht="15.75" customHeight="1" outlineLevel="1">
      <c r="A23" s="402"/>
      <c r="B23" s="181" t="s">
        <v>8</v>
      </c>
      <c r="C23" s="179"/>
      <c r="D23" s="179">
        <v>0</v>
      </c>
      <c r="E23" s="179">
        <v>0</v>
      </c>
      <c r="F23" s="179">
        <v>0</v>
      </c>
      <c r="G23" s="179">
        <v>0</v>
      </c>
      <c r="H23" s="179">
        <v>0</v>
      </c>
      <c r="I23" s="179"/>
      <c r="J23" s="11">
        <f t="shared" si="2"/>
        <v>0</v>
      </c>
    </row>
    <row r="24" spans="1:10" ht="15.75" customHeight="1" outlineLevel="1">
      <c r="A24" s="402"/>
      <c r="B24" s="181" t="s">
        <v>9</v>
      </c>
      <c r="C24" s="179"/>
      <c r="D24" s="179">
        <v>0</v>
      </c>
      <c r="E24" s="179">
        <v>0</v>
      </c>
      <c r="F24" s="179">
        <v>0</v>
      </c>
      <c r="G24" s="179">
        <v>0</v>
      </c>
      <c r="H24" s="179">
        <v>0</v>
      </c>
      <c r="I24" s="179"/>
      <c r="J24" s="11">
        <f t="shared" si="2"/>
        <v>0</v>
      </c>
    </row>
    <row r="25" spans="1:10" ht="15.75" customHeight="1" outlineLevel="1">
      <c r="A25" s="402"/>
      <c r="B25" s="181" t="s">
        <v>10</v>
      </c>
      <c r="C25" s="179"/>
      <c r="D25" s="179">
        <v>0</v>
      </c>
      <c r="E25" s="179">
        <v>0</v>
      </c>
      <c r="F25" s="179">
        <v>0</v>
      </c>
      <c r="G25" s="179">
        <v>0</v>
      </c>
      <c r="H25" s="179">
        <v>0</v>
      </c>
      <c r="I25" s="179"/>
      <c r="J25" s="11">
        <f t="shared" si="2"/>
        <v>0</v>
      </c>
    </row>
    <row r="26" spans="1:10" ht="15.75" customHeight="1" outlineLevel="1">
      <c r="A26" s="402"/>
      <c r="B26" s="181" t="s">
        <v>11</v>
      </c>
      <c r="C26" s="179"/>
      <c r="D26" s="179">
        <v>0</v>
      </c>
      <c r="E26" s="179">
        <v>0</v>
      </c>
      <c r="F26" s="179">
        <v>0</v>
      </c>
      <c r="G26" s="179">
        <v>0</v>
      </c>
      <c r="H26" s="179">
        <v>0</v>
      </c>
      <c r="I26" s="179"/>
      <c r="J26" s="11">
        <f t="shared" si="2"/>
        <v>0</v>
      </c>
    </row>
    <row r="27" spans="1:10" ht="15.75" customHeight="1" outlineLevel="1">
      <c r="A27" s="402"/>
      <c r="B27" s="181" t="s">
        <v>12</v>
      </c>
      <c r="C27" s="179"/>
      <c r="D27" s="179">
        <v>0</v>
      </c>
      <c r="E27" s="179">
        <v>0</v>
      </c>
      <c r="F27" s="179">
        <v>0</v>
      </c>
      <c r="G27" s="179">
        <v>0</v>
      </c>
      <c r="H27" s="179">
        <v>0</v>
      </c>
      <c r="I27" s="179"/>
      <c r="J27" s="11">
        <f t="shared" si="2"/>
        <v>0</v>
      </c>
    </row>
    <row r="28" spans="1:10" ht="15.75" customHeight="1" outlineLevel="1">
      <c r="A28" s="402"/>
      <c r="B28" s="181" t="s">
        <v>13</v>
      </c>
      <c r="C28" s="179"/>
      <c r="D28" s="179">
        <v>0</v>
      </c>
      <c r="E28" s="179">
        <v>0</v>
      </c>
      <c r="F28" s="179">
        <v>0</v>
      </c>
      <c r="G28" s="179">
        <v>0</v>
      </c>
      <c r="H28" s="179">
        <v>0</v>
      </c>
      <c r="I28" s="179"/>
      <c r="J28" s="11">
        <f t="shared" si="2"/>
        <v>0</v>
      </c>
    </row>
    <row r="29" spans="1:10" ht="15.75" customHeight="1" outlineLevel="1">
      <c r="A29" s="402"/>
      <c r="B29" s="181" t="s">
        <v>14</v>
      </c>
      <c r="C29" s="179"/>
      <c r="D29" s="179">
        <v>0</v>
      </c>
      <c r="E29" s="179">
        <v>0</v>
      </c>
      <c r="F29" s="179">
        <v>0</v>
      </c>
      <c r="G29" s="179">
        <v>0</v>
      </c>
      <c r="H29" s="179">
        <v>0</v>
      </c>
      <c r="I29" s="179"/>
      <c r="J29" s="11">
        <f t="shared" si="2"/>
        <v>0</v>
      </c>
    </row>
    <row r="30" spans="1:10" s="75" customFormat="1" ht="15.75" customHeight="1" outlineLevel="1">
      <c r="A30" s="403"/>
      <c r="B30" s="209" t="s">
        <v>171</v>
      </c>
      <c r="C30" s="105">
        <f t="shared" ref="C30:J30" si="3">SUM(C20:C29)</f>
        <v>0</v>
      </c>
      <c r="D30" s="105">
        <f t="shared" si="3"/>
        <v>0</v>
      </c>
      <c r="E30" s="105">
        <f t="shared" si="3"/>
        <v>0</v>
      </c>
      <c r="F30" s="105">
        <f t="shared" si="3"/>
        <v>0</v>
      </c>
      <c r="G30" s="105">
        <f t="shared" si="3"/>
        <v>0</v>
      </c>
      <c r="H30" s="105">
        <f t="shared" si="3"/>
        <v>0</v>
      </c>
      <c r="I30" s="105">
        <f t="shared" si="3"/>
        <v>0</v>
      </c>
      <c r="J30" s="105">
        <f t="shared" si="3"/>
        <v>0</v>
      </c>
    </row>
    <row r="31" spans="1:10" ht="78" customHeight="1">
      <c r="A31" s="407" t="s">
        <v>3</v>
      </c>
      <c r="B31" s="383" t="s">
        <v>172</v>
      </c>
      <c r="C31" s="384"/>
      <c r="D31" s="384"/>
      <c r="E31" s="384"/>
      <c r="F31" s="384"/>
      <c r="G31" s="384"/>
      <c r="H31" s="384"/>
      <c r="I31" s="384"/>
      <c r="J31" s="384"/>
    </row>
    <row r="32" spans="1:10" ht="15.75" customHeight="1" outlineLevel="1">
      <c r="A32" s="408"/>
      <c r="B32" s="404" t="s">
        <v>170</v>
      </c>
      <c r="C32" s="405"/>
      <c r="D32" s="405"/>
      <c r="E32" s="405"/>
      <c r="F32" s="405"/>
      <c r="G32" s="405"/>
      <c r="H32" s="405"/>
      <c r="I32" s="405"/>
      <c r="J32" s="406"/>
    </row>
    <row r="33" spans="1:10" ht="15.75" customHeight="1" outlineLevel="1">
      <c r="A33" s="408"/>
      <c r="B33" s="181" t="s">
        <v>16</v>
      </c>
      <c r="C33" s="162">
        <v>1230</v>
      </c>
      <c r="D33" s="162">
        <v>0</v>
      </c>
      <c r="E33" s="162">
        <v>0</v>
      </c>
      <c r="F33" s="162">
        <v>0</v>
      </c>
      <c r="G33" s="162">
        <v>0</v>
      </c>
      <c r="H33" s="162">
        <v>0</v>
      </c>
      <c r="I33" s="162"/>
      <c r="J33" s="11">
        <f>SUM(E33:I33)</f>
        <v>0</v>
      </c>
    </row>
    <row r="34" spans="1:10" s="75" customFormat="1" ht="15.75" customHeight="1" outlineLevel="1">
      <c r="A34" s="409"/>
      <c r="B34" s="99" t="s">
        <v>18</v>
      </c>
      <c r="C34" s="105">
        <f t="shared" ref="C34:J42" si="4">SUM(C33:C33)</f>
        <v>1230</v>
      </c>
      <c r="D34" s="105">
        <f t="shared" si="4"/>
        <v>0</v>
      </c>
      <c r="E34" s="105">
        <f t="shared" si="4"/>
        <v>0</v>
      </c>
      <c r="F34" s="105">
        <f t="shared" si="4"/>
        <v>0</v>
      </c>
      <c r="G34" s="105">
        <f t="shared" si="4"/>
        <v>0</v>
      </c>
      <c r="H34" s="105">
        <f t="shared" si="4"/>
        <v>0</v>
      </c>
      <c r="I34" s="105">
        <f t="shared" si="4"/>
        <v>0</v>
      </c>
      <c r="J34" s="105">
        <f t="shared" si="4"/>
        <v>0</v>
      </c>
    </row>
    <row r="35" spans="1:10" ht="57.75" customHeight="1">
      <c r="A35" s="386" t="s">
        <v>15</v>
      </c>
      <c r="B35" s="387" t="s">
        <v>173</v>
      </c>
      <c r="C35" s="388"/>
      <c r="D35" s="388"/>
      <c r="E35" s="388"/>
      <c r="F35" s="388"/>
      <c r="G35" s="388"/>
      <c r="H35" s="388"/>
      <c r="I35" s="388"/>
      <c r="J35" s="388"/>
    </row>
    <row r="36" spans="1:10" ht="21" customHeight="1" outlineLevel="1">
      <c r="A36" s="386"/>
      <c r="B36" s="410" t="s">
        <v>174</v>
      </c>
      <c r="C36" s="410"/>
      <c r="D36" s="410"/>
      <c r="E36" s="410"/>
      <c r="F36" s="410"/>
      <c r="G36" s="410"/>
      <c r="H36" s="410"/>
      <c r="I36" s="410"/>
      <c r="J36" s="410"/>
    </row>
    <row r="37" spans="1:10" ht="15.75" customHeight="1" outlineLevel="1">
      <c r="A37" s="386"/>
      <c r="B37" s="189" t="s">
        <v>106</v>
      </c>
      <c r="C37" s="179"/>
      <c r="D37" s="179"/>
      <c r="E37" s="179"/>
      <c r="F37" s="179"/>
      <c r="G37" s="179"/>
      <c r="H37" s="179"/>
      <c r="I37" s="179"/>
      <c r="J37" s="11">
        <f>SUM(E37:I37)</f>
        <v>0</v>
      </c>
    </row>
    <row r="38" spans="1:10" ht="15.75" customHeight="1" outlineLevel="1">
      <c r="A38" s="386"/>
      <c r="B38" s="10" t="s">
        <v>18</v>
      </c>
      <c r="C38" s="11">
        <f t="shared" si="4"/>
        <v>0</v>
      </c>
      <c r="D38" s="11">
        <f t="shared" si="4"/>
        <v>0</v>
      </c>
      <c r="E38" s="11">
        <f t="shared" si="4"/>
        <v>0</v>
      </c>
      <c r="F38" s="11">
        <f t="shared" si="4"/>
        <v>0</v>
      </c>
      <c r="G38" s="11">
        <f t="shared" si="4"/>
        <v>0</v>
      </c>
      <c r="H38" s="11">
        <f t="shared" si="4"/>
        <v>0</v>
      </c>
      <c r="I38" s="11">
        <f t="shared" si="4"/>
        <v>0</v>
      </c>
      <c r="J38" s="11">
        <f t="shared" si="4"/>
        <v>0</v>
      </c>
    </row>
    <row r="39" spans="1:10" ht="54.75" customHeight="1">
      <c r="A39" s="386" t="s">
        <v>17</v>
      </c>
      <c r="B39" s="387" t="s">
        <v>175</v>
      </c>
      <c r="C39" s="388"/>
      <c r="D39" s="388"/>
      <c r="E39" s="388"/>
      <c r="F39" s="388"/>
      <c r="G39" s="388"/>
      <c r="H39" s="388"/>
      <c r="I39" s="388"/>
      <c r="J39" s="388"/>
    </row>
    <row r="40" spans="1:10" ht="21" customHeight="1" outlineLevel="1">
      <c r="A40" s="386"/>
      <c r="B40" s="410" t="s">
        <v>174</v>
      </c>
      <c r="C40" s="410"/>
      <c r="D40" s="410"/>
      <c r="E40" s="410"/>
      <c r="F40" s="410"/>
      <c r="G40" s="410"/>
      <c r="H40" s="410"/>
      <c r="I40" s="410"/>
      <c r="J40" s="410"/>
    </row>
    <row r="41" spans="1:10" ht="15.75" customHeight="1" outlineLevel="1">
      <c r="A41" s="386"/>
      <c r="B41" s="189" t="s">
        <v>105</v>
      </c>
      <c r="C41" s="179"/>
      <c r="D41" s="179"/>
      <c r="E41" s="179"/>
      <c r="F41" s="179"/>
      <c r="G41" s="179"/>
      <c r="H41" s="179"/>
      <c r="I41" s="179"/>
      <c r="J41" s="11">
        <f>SUM(E41:I41)</f>
        <v>0</v>
      </c>
    </row>
    <row r="42" spans="1:10" ht="15.75" customHeight="1" outlineLevel="1">
      <c r="A42" s="386"/>
      <c r="B42" s="10" t="s">
        <v>18</v>
      </c>
      <c r="C42" s="11">
        <f t="shared" si="4"/>
        <v>0</v>
      </c>
      <c r="D42" s="11">
        <f t="shared" si="4"/>
        <v>0</v>
      </c>
      <c r="E42" s="11">
        <f t="shared" si="4"/>
        <v>0</v>
      </c>
      <c r="F42" s="11">
        <f t="shared" si="4"/>
        <v>0</v>
      </c>
      <c r="G42" s="11">
        <f t="shared" si="4"/>
        <v>0</v>
      </c>
      <c r="H42" s="11">
        <f t="shared" si="4"/>
        <v>0</v>
      </c>
      <c r="I42" s="11">
        <f t="shared" si="4"/>
        <v>0</v>
      </c>
      <c r="J42" s="11">
        <f t="shared" si="4"/>
        <v>0</v>
      </c>
    </row>
    <row r="43" spans="1:10" ht="54.75" customHeight="1">
      <c r="A43" s="386" t="s">
        <v>19</v>
      </c>
      <c r="B43" s="387" t="s">
        <v>176</v>
      </c>
      <c r="C43" s="388"/>
      <c r="D43" s="388"/>
      <c r="E43" s="388"/>
      <c r="F43" s="388"/>
      <c r="G43" s="388"/>
      <c r="H43" s="388"/>
      <c r="I43" s="388"/>
      <c r="J43" s="388"/>
    </row>
    <row r="44" spans="1:10" ht="18.75" outlineLevel="1">
      <c r="A44" s="386"/>
      <c r="B44" s="404" t="s">
        <v>167</v>
      </c>
      <c r="C44" s="405"/>
      <c r="D44" s="405"/>
      <c r="E44" s="405"/>
      <c r="F44" s="405"/>
      <c r="G44" s="405"/>
      <c r="H44" s="405"/>
      <c r="I44" s="405"/>
      <c r="J44" s="406"/>
    </row>
    <row r="45" spans="1:10" ht="15.75" customHeight="1" outlineLevel="1">
      <c r="A45" s="386"/>
      <c r="B45" s="13" t="s">
        <v>21</v>
      </c>
      <c r="C45" s="54"/>
      <c r="D45" s="14"/>
      <c r="E45" s="44"/>
      <c r="F45" s="44"/>
      <c r="G45" s="44"/>
      <c r="H45" s="44"/>
      <c r="I45" s="44"/>
      <c r="J45" s="11">
        <f t="shared" ref="J45:J58" si="5">SUM(E45:I45)</f>
        <v>0</v>
      </c>
    </row>
    <row r="46" spans="1:10" ht="15.75" customHeight="1" outlineLevel="1">
      <c r="A46" s="386"/>
      <c r="B46" s="13" t="s">
        <v>22</v>
      </c>
      <c r="C46" s="54"/>
      <c r="D46" s="14"/>
      <c r="E46" s="44"/>
      <c r="F46" s="44"/>
      <c r="G46" s="44"/>
      <c r="H46" s="44"/>
      <c r="I46" s="44"/>
      <c r="J46" s="11">
        <f t="shared" si="5"/>
        <v>0</v>
      </c>
    </row>
    <row r="47" spans="1:10" ht="15.75" customHeight="1" outlineLevel="1">
      <c r="A47" s="386"/>
      <c r="B47" s="13" t="s">
        <v>23</v>
      </c>
      <c r="C47" s="54"/>
      <c r="D47" s="14"/>
      <c r="E47" s="44"/>
      <c r="F47" s="44"/>
      <c r="G47" s="44"/>
      <c r="H47" s="44"/>
      <c r="I47" s="44"/>
      <c r="J47" s="11">
        <f t="shared" si="5"/>
        <v>0</v>
      </c>
    </row>
    <row r="48" spans="1:10" ht="15.75" customHeight="1" outlineLevel="1">
      <c r="A48" s="386"/>
      <c r="B48" s="13" t="s">
        <v>24</v>
      </c>
      <c r="C48" s="54"/>
      <c r="D48" s="14"/>
      <c r="E48" s="44"/>
      <c r="F48" s="44"/>
      <c r="G48" s="44"/>
      <c r="H48" s="44"/>
      <c r="I48" s="44"/>
      <c r="J48" s="11">
        <f t="shared" si="5"/>
        <v>0</v>
      </c>
    </row>
    <row r="49" spans="1:10" ht="15.75" customHeight="1" outlineLevel="1">
      <c r="A49" s="386"/>
      <c r="B49" s="13" t="s">
        <v>25</v>
      </c>
      <c r="C49" s="54"/>
      <c r="D49" s="14"/>
      <c r="E49" s="44"/>
      <c r="F49" s="44"/>
      <c r="G49" s="44"/>
      <c r="H49" s="44"/>
      <c r="I49" s="44"/>
      <c r="J49" s="11">
        <f t="shared" si="5"/>
        <v>0</v>
      </c>
    </row>
    <row r="50" spans="1:10" ht="15.75" customHeight="1" outlineLevel="1">
      <c r="A50" s="386"/>
      <c r="B50" s="13" t="s">
        <v>26</v>
      </c>
      <c r="C50" s="54"/>
      <c r="D50" s="14"/>
      <c r="E50" s="44"/>
      <c r="F50" s="44"/>
      <c r="G50" s="44"/>
      <c r="H50" s="44"/>
      <c r="I50" s="44"/>
      <c r="J50" s="11">
        <f t="shared" si="5"/>
        <v>0</v>
      </c>
    </row>
    <row r="51" spans="1:10" ht="15.75" customHeight="1" outlineLevel="1">
      <c r="A51" s="386"/>
      <c r="B51" s="13" t="s">
        <v>27</v>
      </c>
      <c r="C51" s="54"/>
      <c r="D51" s="14"/>
      <c r="E51" s="44"/>
      <c r="F51" s="44"/>
      <c r="G51" s="44"/>
      <c r="H51" s="44"/>
      <c r="I51" s="44"/>
      <c r="J51" s="11">
        <f t="shared" si="5"/>
        <v>0</v>
      </c>
    </row>
    <row r="52" spans="1:10" ht="15.75" customHeight="1" outlineLevel="1">
      <c r="A52" s="386"/>
      <c r="B52" s="13" t="s">
        <v>28</v>
      </c>
      <c r="C52" s="54"/>
      <c r="D52" s="14"/>
      <c r="E52" s="44"/>
      <c r="F52" s="44"/>
      <c r="G52" s="44"/>
      <c r="H52" s="44"/>
      <c r="I52" s="44"/>
      <c r="J52" s="11">
        <f t="shared" si="5"/>
        <v>0</v>
      </c>
    </row>
    <row r="53" spans="1:10" ht="15.75" customHeight="1" outlineLevel="1">
      <c r="A53" s="386"/>
      <c r="B53" s="13" t="s">
        <v>29</v>
      </c>
      <c r="C53" s="54"/>
      <c r="D53" s="14"/>
      <c r="E53" s="44"/>
      <c r="F53" s="44"/>
      <c r="G53" s="44"/>
      <c r="H53" s="44"/>
      <c r="I53" s="44"/>
      <c r="J53" s="11">
        <f t="shared" si="5"/>
        <v>0</v>
      </c>
    </row>
    <row r="54" spans="1:10" ht="15.75" customHeight="1" outlineLevel="1">
      <c r="A54" s="386"/>
      <c r="B54" s="15" t="s">
        <v>36</v>
      </c>
      <c r="C54" s="54"/>
      <c r="D54" s="14"/>
      <c r="E54" s="44"/>
      <c r="F54" s="44"/>
      <c r="G54" s="44"/>
      <c r="H54" s="44"/>
      <c r="I54" s="44"/>
      <c r="J54" s="11">
        <f t="shared" si="5"/>
        <v>0</v>
      </c>
    </row>
    <row r="55" spans="1:10" ht="15.75" customHeight="1" outlineLevel="1">
      <c r="A55" s="386"/>
      <c r="B55" s="15" t="s">
        <v>31</v>
      </c>
      <c r="C55" s="54"/>
      <c r="D55" s="14"/>
      <c r="E55" s="44"/>
      <c r="F55" s="44"/>
      <c r="G55" s="44"/>
      <c r="H55" s="44"/>
      <c r="I55" s="44"/>
      <c r="J55" s="11">
        <f t="shared" si="5"/>
        <v>0</v>
      </c>
    </row>
    <row r="56" spans="1:10" ht="15.75" customHeight="1" outlineLevel="1">
      <c r="A56" s="386"/>
      <c r="B56" s="15" t="s">
        <v>32</v>
      </c>
      <c r="C56" s="54"/>
      <c r="D56" s="14"/>
      <c r="E56" s="44"/>
      <c r="F56" s="44"/>
      <c r="G56" s="44"/>
      <c r="H56" s="44"/>
      <c r="I56" s="44"/>
      <c r="J56" s="11">
        <f t="shared" si="5"/>
        <v>0</v>
      </c>
    </row>
    <row r="57" spans="1:10" ht="15.75" customHeight="1" outlineLevel="1">
      <c r="A57" s="386"/>
      <c r="B57" s="15" t="s">
        <v>33</v>
      </c>
      <c r="C57" s="54"/>
      <c r="D57" s="14"/>
      <c r="E57" s="44"/>
      <c r="F57" s="44"/>
      <c r="G57" s="44"/>
      <c r="H57" s="44"/>
      <c r="I57" s="44"/>
      <c r="J57" s="11">
        <f t="shared" si="5"/>
        <v>0</v>
      </c>
    </row>
    <row r="58" spans="1:10" ht="15.75" customHeight="1" outlineLevel="1">
      <c r="A58" s="386"/>
      <c r="B58" s="15" t="s">
        <v>34</v>
      </c>
      <c r="C58" s="54"/>
      <c r="D58" s="14"/>
      <c r="E58" s="44"/>
      <c r="F58" s="44"/>
      <c r="G58" s="44"/>
      <c r="H58" s="44"/>
      <c r="I58" s="44"/>
      <c r="J58" s="11">
        <f t="shared" si="5"/>
        <v>0</v>
      </c>
    </row>
    <row r="59" spans="1:10" ht="15.75" customHeight="1" outlineLevel="1">
      <c r="A59" s="386"/>
      <c r="B59" s="209" t="s">
        <v>169</v>
      </c>
      <c r="C59" s="105">
        <f t="shared" ref="C59:J75" si="6">SUM(C45:C58)</f>
        <v>0</v>
      </c>
      <c r="D59" s="105">
        <f t="shared" si="6"/>
        <v>0</v>
      </c>
      <c r="E59" s="105">
        <f t="shared" si="6"/>
        <v>0</v>
      </c>
      <c r="F59" s="105">
        <f t="shared" si="6"/>
        <v>0</v>
      </c>
      <c r="G59" s="105">
        <f t="shared" si="6"/>
        <v>0</v>
      </c>
      <c r="H59" s="105">
        <f t="shared" si="6"/>
        <v>0</v>
      </c>
      <c r="I59" s="105">
        <f t="shared" si="6"/>
        <v>0</v>
      </c>
      <c r="J59" s="105">
        <f t="shared" si="6"/>
        <v>0</v>
      </c>
    </row>
    <row r="60" spans="1:10" ht="21" customHeight="1" outlineLevel="1">
      <c r="A60" s="386"/>
      <c r="B60" s="404" t="s">
        <v>170</v>
      </c>
      <c r="C60" s="405"/>
      <c r="D60" s="405"/>
      <c r="E60" s="405"/>
      <c r="F60" s="405"/>
      <c r="G60" s="405"/>
      <c r="H60" s="405"/>
      <c r="I60" s="405"/>
      <c r="J60" s="406"/>
    </row>
    <row r="61" spans="1:10" ht="15.75" customHeight="1" outlineLevel="1">
      <c r="A61" s="386"/>
      <c r="B61" s="13" t="s">
        <v>21</v>
      </c>
      <c r="C61" s="54"/>
      <c r="D61" s="14"/>
      <c r="E61" s="44"/>
      <c r="F61" s="44"/>
      <c r="G61" s="44"/>
      <c r="H61" s="44"/>
      <c r="I61" s="44"/>
      <c r="J61" s="11">
        <f t="shared" ref="J61:J74" si="7">SUM(E61:I61)</f>
        <v>0</v>
      </c>
    </row>
    <row r="62" spans="1:10" ht="15.75" customHeight="1" outlineLevel="1">
      <c r="A62" s="386"/>
      <c r="B62" s="13" t="s">
        <v>22</v>
      </c>
      <c r="C62" s="54"/>
      <c r="D62" s="14"/>
      <c r="E62" s="44"/>
      <c r="F62" s="44"/>
      <c r="G62" s="44"/>
      <c r="H62" s="44"/>
      <c r="I62" s="44"/>
      <c r="J62" s="11">
        <f t="shared" si="7"/>
        <v>0</v>
      </c>
    </row>
    <row r="63" spans="1:10" ht="15.75" customHeight="1" outlineLevel="1">
      <c r="A63" s="386"/>
      <c r="B63" s="13" t="s">
        <v>23</v>
      </c>
      <c r="C63" s="54"/>
      <c r="D63" s="14"/>
      <c r="E63" s="44"/>
      <c r="F63" s="44"/>
      <c r="G63" s="44"/>
      <c r="H63" s="44"/>
      <c r="I63" s="44"/>
      <c r="J63" s="11">
        <f t="shared" si="7"/>
        <v>0</v>
      </c>
    </row>
    <row r="64" spans="1:10" ht="15.75" customHeight="1" outlineLevel="1">
      <c r="A64" s="386"/>
      <c r="B64" s="13" t="s">
        <v>24</v>
      </c>
      <c r="C64" s="54"/>
      <c r="D64" s="14"/>
      <c r="E64" s="44"/>
      <c r="F64" s="44"/>
      <c r="G64" s="44"/>
      <c r="H64" s="44"/>
      <c r="I64" s="44"/>
      <c r="J64" s="11">
        <f t="shared" si="7"/>
        <v>0</v>
      </c>
    </row>
    <row r="65" spans="1:10" ht="15.75" customHeight="1" outlineLevel="1">
      <c r="A65" s="386"/>
      <c r="B65" s="13" t="s">
        <v>25</v>
      </c>
      <c r="C65" s="54"/>
      <c r="D65" s="14"/>
      <c r="E65" s="44"/>
      <c r="F65" s="44"/>
      <c r="G65" s="44"/>
      <c r="H65" s="44"/>
      <c r="I65" s="44"/>
      <c r="J65" s="11">
        <f t="shared" si="7"/>
        <v>0</v>
      </c>
    </row>
    <row r="66" spans="1:10" ht="15.75" customHeight="1" outlineLevel="1">
      <c r="A66" s="386"/>
      <c r="B66" s="13" t="s">
        <v>26</v>
      </c>
      <c r="C66" s="54"/>
      <c r="D66" s="14"/>
      <c r="E66" s="44"/>
      <c r="F66" s="44"/>
      <c r="G66" s="44"/>
      <c r="H66" s="44"/>
      <c r="I66" s="44"/>
      <c r="J66" s="11">
        <f t="shared" si="7"/>
        <v>0</v>
      </c>
    </row>
    <row r="67" spans="1:10" ht="15.75" customHeight="1" outlineLevel="1">
      <c r="A67" s="386"/>
      <c r="B67" s="13" t="s">
        <v>27</v>
      </c>
      <c r="C67" s="54"/>
      <c r="D67" s="14"/>
      <c r="E67" s="44"/>
      <c r="F67" s="44"/>
      <c r="G67" s="44"/>
      <c r="H67" s="44"/>
      <c r="I67" s="44"/>
      <c r="J67" s="11">
        <f t="shared" si="7"/>
        <v>0</v>
      </c>
    </row>
    <row r="68" spans="1:10" ht="15.75" customHeight="1" outlineLevel="1">
      <c r="A68" s="386"/>
      <c r="B68" s="13" t="s">
        <v>28</v>
      </c>
      <c r="C68" s="54"/>
      <c r="D68" s="14"/>
      <c r="E68" s="44"/>
      <c r="F68" s="44"/>
      <c r="G68" s="44"/>
      <c r="H68" s="44"/>
      <c r="I68" s="44"/>
      <c r="J68" s="11">
        <f t="shared" si="7"/>
        <v>0</v>
      </c>
    </row>
    <row r="69" spans="1:10" ht="15.75" customHeight="1" outlineLevel="1">
      <c r="A69" s="386"/>
      <c r="B69" s="13" t="s">
        <v>29</v>
      </c>
      <c r="C69" s="54"/>
      <c r="D69" s="14"/>
      <c r="E69" s="44"/>
      <c r="F69" s="44"/>
      <c r="G69" s="44"/>
      <c r="H69" s="44"/>
      <c r="I69" s="44"/>
      <c r="J69" s="11">
        <f t="shared" si="7"/>
        <v>0</v>
      </c>
    </row>
    <row r="70" spans="1:10" ht="15.75" customHeight="1" outlineLevel="1">
      <c r="A70" s="386"/>
      <c r="B70" s="15" t="s">
        <v>36</v>
      </c>
      <c r="C70" s="54"/>
      <c r="D70" s="14"/>
      <c r="E70" s="44"/>
      <c r="F70" s="44"/>
      <c r="G70" s="44"/>
      <c r="H70" s="44"/>
      <c r="I70" s="44"/>
      <c r="J70" s="11">
        <f t="shared" si="7"/>
        <v>0</v>
      </c>
    </row>
    <row r="71" spans="1:10" ht="15.75" customHeight="1" outlineLevel="1">
      <c r="A71" s="386"/>
      <c r="B71" s="15" t="s">
        <v>31</v>
      </c>
      <c r="C71" s="54"/>
      <c r="D71" s="14"/>
      <c r="E71" s="44"/>
      <c r="F71" s="44"/>
      <c r="G71" s="44"/>
      <c r="H71" s="44"/>
      <c r="I71" s="44"/>
      <c r="J71" s="11">
        <f t="shared" si="7"/>
        <v>0</v>
      </c>
    </row>
    <row r="72" spans="1:10" ht="15.75" customHeight="1" outlineLevel="1">
      <c r="A72" s="386"/>
      <c r="B72" s="15" t="s">
        <v>32</v>
      </c>
      <c r="C72" s="54"/>
      <c r="D72" s="14"/>
      <c r="E72" s="44"/>
      <c r="F72" s="44"/>
      <c r="G72" s="44"/>
      <c r="H72" s="44"/>
      <c r="I72" s="44"/>
      <c r="J72" s="11">
        <f t="shared" si="7"/>
        <v>0</v>
      </c>
    </row>
    <row r="73" spans="1:10" ht="15.75" customHeight="1" outlineLevel="1">
      <c r="A73" s="386"/>
      <c r="B73" s="15" t="s">
        <v>33</v>
      </c>
      <c r="C73" s="54"/>
      <c r="D73" s="14"/>
      <c r="E73" s="44"/>
      <c r="F73" s="44"/>
      <c r="G73" s="44"/>
      <c r="H73" s="44"/>
      <c r="I73" s="44"/>
      <c r="J73" s="11">
        <f t="shared" si="7"/>
        <v>0</v>
      </c>
    </row>
    <row r="74" spans="1:10" ht="15.75" customHeight="1" outlineLevel="1">
      <c r="A74" s="386"/>
      <c r="B74" s="15" t="s">
        <v>34</v>
      </c>
      <c r="C74" s="54"/>
      <c r="D74" s="14"/>
      <c r="E74" s="44"/>
      <c r="F74" s="44"/>
      <c r="G74" s="44"/>
      <c r="H74" s="44"/>
      <c r="I74" s="44"/>
      <c r="J74" s="11">
        <f t="shared" si="7"/>
        <v>0</v>
      </c>
    </row>
    <row r="75" spans="1:10" ht="15.75" customHeight="1" outlineLevel="1">
      <c r="A75" s="386"/>
      <c r="B75" s="209" t="s">
        <v>171</v>
      </c>
      <c r="C75" s="105">
        <f t="shared" si="6"/>
        <v>0</v>
      </c>
      <c r="D75" s="105">
        <f t="shared" ref="D75:J75" si="8">SUM(D61:D74)</f>
        <v>0</v>
      </c>
      <c r="E75" s="105">
        <f t="shared" si="8"/>
        <v>0</v>
      </c>
      <c r="F75" s="105">
        <f t="shared" si="8"/>
        <v>0</v>
      </c>
      <c r="G75" s="105">
        <f t="shared" si="8"/>
        <v>0</v>
      </c>
      <c r="H75" s="105">
        <f t="shared" si="8"/>
        <v>0</v>
      </c>
      <c r="I75" s="105">
        <f t="shared" si="8"/>
        <v>0</v>
      </c>
      <c r="J75" s="105">
        <f t="shared" si="8"/>
        <v>0</v>
      </c>
    </row>
    <row r="76" spans="1:10" ht="61.5" customHeight="1">
      <c r="A76" s="411" t="s">
        <v>20</v>
      </c>
      <c r="B76" s="383" t="s">
        <v>177</v>
      </c>
      <c r="C76" s="384"/>
      <c r="D76" s="384"/>
      <c r="E76" s="384"/>
      <c r="F76" s="384"/>
      <c r="G76" s="384"/>
      <c r="H76" s="384"/>
      <c r="I76" s="384"/>
      <c r="J76" s="384"/>
    </row>
    <row r="77" spans="1:10" ht="18.75" outlineLevel="1">
      <c r="A77" s="411"/>
      <c r="B77" s="404" t="s">
        <v>167</v>
      </c>
      <c r="C77" s="405"/>
      <c r="D77" s="405"/>
      <c r="E77" s="405"/>
      <c r="F77" s="405"/>
      <c r="G77" s="405"/>
      <c r="H77" s="405"/>
      <c r="I77" s="405"/>
      <c r="J77" s="406"/>
    </row>
    <row r="78" spans="1:10" ht="15.75" outlineLevel="1">
      <c r="A78" s="411"/>
      <c r="B78" s="210" t="s">
        <v>16</v>
      </c>
      <c r="C78" s="211">
        <v>0</v>
      </c>
      <c r="D78" s="211">
        <v>0</v>
      </c>
      <c r="E78" s="212">
        <v>0</v>
      </c>
      <c r="F78" s="212">
        <v>0</v>
      </c>
      <c r="G78" s="212">
        <v>0</v>
      </c>
      <c r="H78" s="212">
        <v>0</v>
      </c>
      <c r="I78" s="212"/>
      <c r="J78" s="11">
        <f t="shared" ref="J78:J95" si="9">SUM(E78:I78)</f>
        <v>0</v>
      </c>
    </row>
    <row r="79" spans="1:10" ht="15.75" outlineLevel="1">
      <c r="A79" s="411"/>
      <c r="B79" s="6" t="s">
        <v>4</v>
      </c>
      <c r="C79" s="211">
        <v>0</v>
      </c>
      <c r="D79" s="211">
        <v>0</v>
      </c>
      <c r="E79" s="212">
        <v>0</v>
      </c>
      <c r="F79" s="212">
        <v>0</v>
      </c>
      <c r="G79" s="212">
        <v>0</v>
      </c>
      <c r="H79" s="212">
        <v>0</v>
      </c>
      <c r="I79" s="212"/>
      <c r="J79" s="11">
        <f t="shared" si="9"/>
        <v>0</v>
      </c>
    </row>
    <row r="80" spans="1:10" ht="15.75" outlineLevel="1">
      <c r="A80" s="411"/>
      <c r="B80" s="6" t="s">
        <v>5</v>
      </c>
      <c r="C80" s="211">
        <v>0</v>
      </c>
      <c r="D80" s="211">
        <v>0</v>
      </c>
      <c r="E80" s="212">
        <v>0</v>
      </c>
      <c r="F80" s="212">
        <v>0</v>
      </c>
      <c r="G80" s="212">
        <v>0</v>
      </c>
      <c r="H80" s="212">
        <v>0</v>
      </c>
      <c r="I80" s="212"/>
      <c r="J80" s="11">
        <f t="shared" si="9"/>
        <v>0</v>
      </c>
    </row>
    <row r="81" spans="1:10" ht="15.75" outlineLevel="1">
      <c r="A81" s="411"/>
      <c r="B81" s="6" t="s">
        <v>7</v>
      </c>
      <c r="C81" s="211">
        <v>0</v>
      </c>
      <c r="D81" s="211">
        <v>0</v>
      </c>
      <c r="E81" s="212">
        <v>0</v>
      </c>
      <c r="F81" s="212">
        <v>0</v>
      </c>
      <c r="G81" s="212">
        <v>0</v>
      </c>
      <c r="H81" s="212">
        <v>0</v>
      </c>
      <c r="I81" s="212"/>
      <c r="J81" s="11">
        <f t="shared" si="9"/>
        <v>0</v>
      </c>
    </row>
    <row r="82" spans="1:10" ht="15.75" outlineLevel="1">
      <c r="A82" s="411"/>
      <c r="B82" s="6" t="s">
        <v>8</v>
      </c>
      <c r="C82" s="211">
        <v>0</v>
      </c>
      <c r="D82" s="211">
        <v>0</v>
      </c>
      <c r="E82" s="212">
        <v>0</v>
      </c>
      <c r="F82" s="212">
        <v>0</v>
      </c>
      <c r="G82" s="212">
        <v>0</v>
      </c>
      <c r="H82" s="212">
        <v>0</v>
      </c>
      <c r="I82" s="212"/>
      <c r="J82" s="11">
        <f t="shared" si="9"/>
        <v>0</v>
      </c>
    </row>
    <row r="83" spans="1:10" ht="15.75" outlineLevel="1">
      <c r="A83" s="411"/>
      <c r="B83" s="6" t="s">
        <v>9</v>
      </c>
      <c r="C83" s="211">
        <v>0</v>
      </c>
      <c r="D83" s="211">
        <v>0</v>
      </c>
      <c r="E83" s="212">
        <v>0</v>
      </c>
      <c r="F83" s="212">
        <v>0</v>
      </c>
      <c r="G83" s="212">
        <v>0</v>
      </c>
      <c r="H83" s="212">
        <v>0</v>
      </c>
      <c r="I83" s="212"/>
      <c r="J83" s="11">
        <f t="shared" si="9"/>
        <v>0</v>
      </c>
    </row>
    <row r="84" spans="1:10" ht="15.75" outlineLevel="1">
      <c r="A84" s="411"/>
      <c r="B84" s="6" t="s">
        <v>10</v>
      </c>
      <c r="C84" s="211">
        <v>0</v>
      </c>
      <c r="D84" s="211">
        <v>0</v>
      </c>
      <c r="E84" s="212">
        <v>0</v>
      </c>
      <c r="F84" s="212">
        <v>0</v>
      </c>
      <c r="G84" s="212">
        <v>0</v>
      </c>
      <c r="H84" s="212">
        <v>0</v>
      </c>
      <c r="I84" s="212"/>
      <c r="J84" s="11">
        <f t="shared" si="9"/>
        <v>0</v>
      </c>
    </row>
    <row r="85" spans="1:10" ht="15.75" outlineLevel="1">
      <c r="A85" s="411"/>
      <c r="B85" s="6" t="s">
        <v>11</v>
      </c>
      <c r="C85" s="211">
        <v>0</v>
      </c>
      <c r="D85" s="211">
        <v>0</v>
      </c>
      <c r="E85" s="212">
        <v>0</v>
      </c>
      <c r="F85" s="212">
        <v>0</v>
      </c>
      <c r="G85" s="212">
        <v>0</v>
      </c>
      <c r="H85" s="212">
        <v>0</v>
      </c>
      <c r="I85" s="212"/>
      <c r="J85" s="11">
        <f t="shared" si="9"/>
        <v>0</v>
      </c>
    </row>
    <row r="86" spans="1:10" ht="15.75" outlineLevel="1">
      <c r="A86" s="411"/>
      <c r="B86" s="6" t="s">
        <v>12</v>
      </c>
      <c r="C86" s="211">
        <v>0</v>
      </c>
      <c r="D86" s="211">
        <v>0</v>
      </c>
      <c r="E86" s="212">
        <v>0</v>
      </c>
      <c r="F86" s="212">
        <v>0</v>
      </c>
      <c r="G86" s="212">
        <v>0</v>
      </c>
      <c r="H86" s="212">
        <v>0</v>
      </c>
      <c r="I86" s="212"/>
      <c r="J86" s="11">
        <f t="shared" si="9"/>
        <v>0</v>
      </c>
    </row>
    <row r="87" spans="1:10" ht="15.75" outlineLevel="1">
      <c r="A87" s="411"/>
      <c r="B87" s="6" t="s">
        <v>13</v>
      </c>
      <c r="C87" s="211">
        <v>0</v>
      </c>
      <c r="D87" s="211">
        <v>0</v>
      </c>
      <c r="E87" s="212">
        <v>0</v>
      </c>
      <c r="F87" s="212">
        <v>0</v>
      </c>
      <c r="G87" s="212">
        <v>0</v>
      </c>
      <c r="H87" s="212">
        <v>0</v>
      </c>
      <c r="I87" s="212"/>
      <c r="J87" s="11">
        <f t="shared" si="9"/>
        <v>0</v>
      </c>
    </row>
    <row r="88" spans="1:10" ht="15.75" outlineLevel="1">
      <c r="A88" s="411"/>
      <c r="B88" s="6" t="s">
        <v>14</v>
      </c>
      <c r="C88" s="211">
        <v>0</v>
      </c>
      <c r="D88" s="211">
        <v>0</v>
      </c>
      <c r="E88" s="212">
        <v>0</v>
      </c>
      <c r="F88" s="212">
        <v>0</v>
      </c>
      <c r="G88" s="212">
        <v>0</v>
      </c>
      <c r="H88" s="212">
        <v>0</v>
      </c>
      <c r="I88" s="212"/>
      <c r="J88" s="11">
        <f t="shared" si="9"/>
        <v>0</v>
      </c>
    </row>
    <row r="89" spans="1:10" ht="15.75" outlineLevel="1">
      <c r="A89" s="411"/>
      <c r="B89" s="6" t="s">
        <v>112</v>
      </c>
      <c r="C89" s="211">
        <v>0</v>
      </c>
      <c r="D89" s="211">
        <v>0</v>
      </c>
      <c r="E89" s="212">
        <v>0</v>
      </c>
      <c r="F89" s="212">
        <v>0</v>
      </c>
      <c r="G89" s="212">
        <v>0</v>
      </c>
      <c r="H89" s="212">
        <v>0</v>
      </c>
      <c r="I89" s="212"/>
      <c r="J89" s="11">
        <f t="shared" si="9"/>
        <v>0</v>
      </c>
    </row>
    <row r="90" spans="1:10" ht="15.75" outlineLevel="1">
      <c r="A90" s="411"/>
      <c r="B90" s="6" t="s">
        <v>168</v>
      </c>
      <c r="C90" s="211">
        <v>0</v>
      </c>
      <c r="D90" s="211">
        <v>0</v>
      </c>
      <c r="E90" s="212">
        <v>0</v>
      </c>
      <c r="F90" s="212">
        <v>0</v>
      </c>
      <c r="G90" s="212">
        <v>0</v>
      </c>
      <c r="H90" s="212">
        <v>0</v>
      </c>
      <c r="I90" s="212"/>
      <c r="J90" s="11">
        <f t="shared" si="9"/>
        <v>0</v>
      </c>
    </row>
    <row r="91" spans="1:10" ht="15.75" outlineLevel="1">
      <c r="A91" s="411"/>
      <c r="B91" s="6" t="s">
        <v>30</v>
      </c>
      <c r="C91" s="211">
        <v>0</v>
      </c>
      <c r="D91" s="211">
        <v>0</v>
      </c>
      <c r="E91" s="212">
        <v>0</v>
      </c>
      <c r="F91" s="212">
        <v>0</v>
      </c>
      <c r="G91" s="212">
        <v>0</v>
      </c>
      <c r="H91" s="212">
        <v>0</v>
      </c>
      <c r="I91" s="212"/>
      <c r="J91" s="11">
        <f t="shared" si="9"/>
        <v>0</v>
      </c>
    </row>
    <row r="92" spans="1:10" ht="15.75" outlineLevel="1">
      <c r="A92" s="411"/>
      <c r="B92" s="6" t="s">
        <v>31</v>
      </c>
      <c r="C92" s="211">
        <v>0</v>
      </c>
      <c r="D92" s="211">
        <v>0</v>
      </c>
      <c r="E92" s="212">
        <v>0</v>
      </c>
      <c r="F92" s="212">
        <v>0</v>
      </c>
      <c r="G92" s="212">
        <v>0</v>
      </c>
      <c r="H92" s="212">
        <v>0</v>
      </c>
      <c r="I92" s="212"/>
      <c r="J92" s="11">
        <f t="shared" si="9"/>
        <v>0</v>
      </c>
    </row>
    <row r="93" spans="1:10" ht="31.5" outlineLevel="1">
      <c r="A93" s="411"/>
      <c r="B93" s="6" t="s">
        <v>32</v>
      </c>
      <c r="C93" s="211">
        <v>0</v>
      </c>
      <c r="D93" s="211">
        <v>0</v>
      </c>
      <c r="E93" s="212">
        <v>0</v>
      </c>
      <c r="F93" s="212">
        <v>0</v>
      </c>
      <c r="G93" s="212">
        <v>0</v>
      </c>
      <c r="H93" s="212">
        <v>0</v>
      </c>
      <c r="I93" s="212"/>
      <c r="J93" s="11">
        <f t="shared" si="9"/>
        <v>0</v>
      </c>
    </row>
    <row r="94" spans="1:10" ht="15.75" outlineLevel="1">
      <c r="A94" s="411"/>
      <c r="B94" s="6" t="s">
        <v>33</v>
      </c>
      <c r="C94" s="211">
        <v>0</v>
      </c>
      <c r="D94" s="211">
        <v>0</v>
      </c>
      <c r="E94" s="212">
        <v>0</v>
      </c>
      <c r="F94" s="212">
        <v>0</v>
      </c>
      <c r="G94" s="212">
        <v>0</v>
      </c>
      <c r="H94" s="212">
        <v>0</v>
      </c>
      <c r="I94" s="212"/>
      <c r="J94" s="11">
        <f t="shared" si="9"/>
        <v>0</v>
      </c>
    </row>
    <row r="95" spans="1:10" ht="15.75" outlineLevel="1">
      <c r="A95" s="411"/>
      <c r="B95" s="6" t="s">
        <v>34</v>
      </c>
      <c r="C95" s="211">
        <v>0</v>
      </c>
      <c r="D95" s="211">
        <v>0</v>
      </c>
      <c r="E95" s="212">
        <v>0</v>
      </c>
      <c r="F95" s="212">
        <v>0</v>
      </c>
      <c r="G95" s="212">
        <v>0</v>
      </c>
      <c r="H95" s="212">
        <v>0</v>
      </c>
      <c r="I95" s="212"/>
      <c r="J95" s="11">
        <f t="shared" si="9"/>
        <v>0</v>
      </c>
    </row>
    <row r="96" spans="1:10" ht="15.75" outlineLevel="1">
      <c r="A96" s="411"/>
      <c r="B96" s="209" t="s">
        <v>169</v>
      </c>
      <c r="C96" s="213">
        <f t="shared" ref="C96:J96" si="10">SUM(C78:C95)</f>
        <v>0</v>
      </c>
      <c r="D96" s="213">
        <f t="shared" si="10"/>
        <v>0</v>
      </c>
      <c r="E96" s="213">
        <f t="shared" si="10"/>
        <v>0</v>
      </c>
      <c r="F96" s="213">
        <f t="shared" si="10"/>
        <v>0</v>
      </c>
      <c r="G96" s="213">
        <f t="shared" si="10"/>
        <v>0</v>
      </c>
      <c r="H96" s="213">
        <f>SUM(H78:H95)</f>
        <v>0</v>
      </c>
      <c r="I96" s="213">
        <f>SUM(I78:I95)</f>
        <v>0</v>
      </c>
      <c r="J96" s="213">
        <f t="shared" si="10"/>
        <v>0</v>
      </c>
    </row>
    <row r="97" spans="1:10" ht="18.75" outlineLevel="1">
      <c r="A97" s="411"/>
      <c r="B97" s="404" t="s">
        <v>170</v>
      </c>
      <c r="C97" s="405"/>
      <c r="D97" s="405"/>
      <c r="E97" s="405"/>
      <c r="F97" s="405"/>
      <c r="G97" s="405"/>
      <c r="H97" s="405"/>
      <c r="I97" s="405"/>
      <c r="J97" s="406"/>
    </row>
    <row r="98" spans="1:10" ht="15.75" outlineLevel="1">
      <c r="A98" s="411"/>
      <c r="B98" s="210" t="s">
        <v>16</v>
      </c>
      <c r="C98" s="211">
        <v>0</v>
      </c>
      <c r="D98" s="211">
        <v>0</v>
      </c>
      <c r="E98" s="212">
        <v>0</v>
      </c>
      <c r="F98" s="212">
        <v>0</v>
      </c>
      <c r="G98" s="212">
        <v>0</v>
      </c>
      <c r="H98" s="212">
        <v>0</v>
      </c>
      <c r="I98" s="212"/>
      <c r="J98" s="214">
        <f t="shared" ref="J98:J115" si="11">SUM(C98:H98)</f>
        <v>0</v>
      </c>
    </row>
    <row r="99" spans="1:10" ht="15.75" outlineLevel="1">
      <c r="A99" s="411"/>
      <c r="B99" s="6" t="s">
        <v>4</v>
      </c>
      <c r="C99" s="211">
        <v>0</v>
      </c>
      <c r="D99" s="211">
        <v>0</v>
      </c>
      <c r="E99" s="212">
        <v>0</v>
      </c>
      <c r="F99" s="212">
        <v>0</v>
      </c>
      <c r="G99" s="212">
        <v>0</v>
      </c>
      <c r="H99" s="212">
        <v>0</v>
      </c>
      <c r="I99" s="212"/>
      <c r="J99" s="214">
        <f t="shared" si="11"/>
        <v>0</v>
      </c>
    </row>
    <row r="100" spans="1:10" ht="15.75" outlineLevel="1">
      <c r="A100" s="411"/>
      <c r="B100" s="6" t="s">
        <v>5</v>
      </c>
      <c r="C100" s="211">
        <v>0</v>
      </c>
      <c r="D100" s="211">
        <v>0</v>
      </c>
      <c r="E100" s="212">
        <v>0</v>
      </c>
      <c r="F100" s="212">
        <v>0</v>
      </c>
      <c r="G100" s="212">
        <v>0</v>
      </c>
      <c r="H100" s="212">
        <v>0</v>
      </c>
      <c r="I100" s="212"/>
      <c r="J100" s="214">
        <f t="shared" si="11"/>
        <v>0</v>
      </c>
    </row>
    <row r="101" spans="1:10" ht="15.75" outlineLevel="1">
      <c r="A101" s="411"/>
      <c r="B101" s="6" t="s">
        <v>7</v>
      </c>
      <c r="C101" s="211">
        <v>0</v>
      </c>
      <c r="D101" s="211">
        <v>0</v>
      </c>
      <c r="E101" s="212">
        <v>0</v>
      </c>
      <c r="F101" s="212">
        <v>0</v>
      </c>
      <c r="G101" s="212">
        <v>0</v>
      </c>
      <c r="H101" s="212">
        <v>0</v>
      </c>
      <c r="I101" s="212"/>
      <c r="J101" s="214">
        <f t="shared" si="11"/>
        <v>0</v>
      </c>
    </row>
    <row r="102" spans="1:10" ht="15.75" outlineLevel="1">
      <c r="A102" s="411"/>
      <c r="B102" s="6" t="s">
        <v>8</v>
      </c>
      <c r="C102" s="211">
        <v>0</v>
      </c>
      <c r="D102" s="211">
        <v>0</v>
      </c>
      <c r="E102" s="212">
        <v>0</v>
      </c>
      <c r="F102" s="212">
        <v>0</v>
      </c>
      <c r="G102" s="212">
        <v>0</v>
      </c>
      <c r="H102" s="212">
        <v>0</v>
      </c>
      <c r="I102" s="212"/>
      <c r="J102" s="214">
        <f t="shared" si="11"/>
        <v>0</v>
      </c>
    </row>
    <row r="103" spans="1:10" ht="15.75" outlineLevel="1">
      <c r="A103" s="411"/>
      <c r="B103" s="6" t="s">
        <v>9</v>
      </c>
      <c r="C103" s="211">
        <v>0</v>
      </c>
      <c r="D103" s="211">
        <v>0</v>
      </c>
      <c r="E103" s="212">
        <v>0</v>
      </c>
      <c r="F103" s="212">
        <v>0</v>
      </c>
      <c r="G103" s="212">
        <v>0</v>
      </c>
      <c r="H103" s="212">
        <v>0</v>
      </c>
      <c r="I103" s="212"/>
      <c r="J103" s="214">
        <f t="shared" si="11"/>
        <v>0</v>
      </c>
    </row>
    <row r="104" spans="1:10" ht="15.75" outlineLevel="1">
      <c r="A104" s="411"/>
      <c r="B104" s="6" t="s">
        <v>10</v>
      </c>
      <c r="C104" s="211">
        <v>0</v>
      </c>
      <c r="D104" s="211">
        <v>0</v>
      </c>
      <c r="E104" s="212">
        <v>0</v>
      </c>
      <c r="F104" s="212">
        <v>0</v>
      </c>
      <c r="G104" s="212">
        <v>0</v>
      </c>
      <c r="H104" s="212">
        <v>0</v>
      </c>
      <c r="I104" s="212"/>
      <c r="J104" s="214">
        <f t="shared" si="11"/>
        <v>0</v>
      </c>
    </row>
    <row r="105" spans="1:10" ht="15.75" outlineLevel="1">
      <c r="A105" s="411"/>
      <c r="B105" s="6" t="s">
        <v>11</v>
      </c>
      <c r="C105" s="211">
        <v>0</v>
      </c>
      <c r="D105" s="211">
        <v>0</v>
      </c>
      <c r="E105" s="212">
        <v>0</v>
      </c>
      <c r="F105" s="212">
        <v>0</v>
      </c>
      <c r="G105" s="212">
        <v>0</v>
      </c>
      <c r="H105" s="212">
        <v>0</v>
      </c>
      <c r="I105" s="212"/>
      <c r="J105" s="214">
        <f t="shared" si="11"/>
        <v>0</v>
      </c>
    </row>
    <row r="106" spans="1:10" ht="15.75" outlineLevel="1">
      <c r="A106" s="411"/>
      <c r="B106" s="6" t="s">
        <v>12</v>
      </c>
      <c r="C106" s="211">
        <v>0</v>
      </c>
      <c r="D106" s="211">
        <v>0</v>
      </c>
      <c r="E106" s="212">
        <v>0</v>
      </c>
      <c r="F106" s="212">
        <v>0</v>
      </c>
      <c r="G106" s="212">
        <v>0</v>
      </c>
      <c r="H106" s="212">
        <v>0</v>
      </c>
      <c r="I106" s="212"/>
      <c r="J106" s="214">
        <f t="shared" si="11"/>
        <v>0</v>
      </c>
    </row>
    <row r="107" spans="1:10" ht="15.75" outlineLevel="1">
      <c r="A107" s="411"/>
      <c r="B107" s="6" t="s">
        <v>13</v>
      </c>
      <c r="C107" s="211">
        <v>0</v>
      </c>
      <c r="D107" s="211">
        <v>0</v>
      </c>
      <c r="E107" s="212">
        <v>0</v>
      </c>
      <c r="F107" s="212">
        <v>0</v>
      </c>
      <c r="G107" s="212">
        <v>0</v>
      </c>
      <c r="H107" s="212">
        <v>0</v>
      </c>
      <c r="I107" s="212"/>
      <c r="J107" s="214">
        <f t="shared" si="11"/>
        <v>0</v>
      </c>
    </row>
    <row r="108" spans="1:10" ht="15.75" outlineLevel="1">
      <c r="A108" s="411"/>
      <c r="B108" s="6" t="s">
        <v>14</v>
      </c>
      <c r="C108" s="211">
        <v>0</v>
      </c>
      <c r="D108" s="211">
        <v>0</v>
      </c>
      <c r="E108" s="212">
        <v>0</v>
      </c>
      <c r="F108" s="212">
        <v>0</v>
      </c>
      <c r="G108" s="212">
        <v>0</v>
      </c>
      <c r="H108" s="212">
        <v>0</v>
      </c>
      <c r="I108" s="212"/>
      <c r="J108" s="214">
        <f t="shared" si="11"/>
        <v>0</v>
      </c>
    </row>
    <row r="109" spans="1:10" ht="15.75" outlineLevel="1">
      <c r="A109" s="411"/>
      <c r="B109" s="6" t="s">
        <v>112</v>
      </c>
      <c r="C109" s="211">
        <v>0</v>
      </c>
      <c r="D109" s="211">
        <v>0</v>
      </c>
      <c r="E109" s="212">
        <v>0</v>
      </c>
      <c r="F109" s="212">
        <v>0</v>
      </c>
      <c r="G109" s="212">
        <v>0</v>
      </c>
      <c r="H109" s="212">
        <v>0</v>
      </c>
      <c r="I109" s="212"/>
      <c r="J109" s="214">
        <f t="shared" si="11"/>
        <v>0</v>
      </c>
    </row>
    <row r="110" spans="1:10" ht="15.75" outlineLevel="1">
      <c r="A110" s="411"/>
      <c r="B110" s="6" t="s">
        <v>168</v>
      </c>
      <c r="C110" s="211">
        <v>0</v>
      </c>
      <c r="D110" s="211">
        <v>0</v>
      </c>
      <c r="E110" s="212">
        <v>0</v>
      </c>
      <c r="F110" s="212">
        <v>0</v>
      </c>
      <c r="G110" s="212">
        <v>0</v>
      </c>
      <c r="H110" s="212">
        <v>0</v>
      </c>
      <c r="I110" s="212"/>
      <c r="J110" s="214">
        <f t="shared" si="11"/>
        <v>0</v>
      </c>
    </row>
    <row r="111" spans="1:10" ht="15.75" outlineLevel="1">
      <c r="A111" s="411"/>
      <c r="B111" s="6" t="s">
        <v>36</v>
      </c>
      <c r="C111" s="211">
        <v>0</v>
      </c>
      <c r="D111" s="211">
        <v>0</v>
      </c>
      <c r="E111" s="212">
        <v>0</v>
      </c>
      <c r="F111" s="212">
        <v>0</v>
      </c>
      <c r="G111" s="212">
        <v>0</v>
      </c>
      <c r="H111" s="212">
        <v>0</v>
      </c>
      <c r="I111" s="212"/>
      <c r="J111" s="214">
        <f t="shared" si="11"/>
        <v>0</v>
      </c>
    </row>
    <row r="112" spans="1:10" ht="15.75" outlineLevel="1">
      <c r="A112" s="411"/>
      <c r="B112" s="6" t="s">
        <v>31</v>
      </c>
      <c r="C112" s="211">
        <v>0</v>
      </c>
      <c r="D112" s="211">
        <v>0</v>
      </c>
      <c r="E112" s="212">
        <v>0</v>
      </c>
      <c r="F112" s="212">
        <v>0</v>
      </c>
      <c r="G112" s="212">
        <v>0</v>
      </c>
      <c r="H112" s="212">
        <v>0</v>
      </c>
      <c r="I112" s="212"/>
      <c r="J112" s="214">
        <f t="shared" si="11"/>
        <v>0</v>
      </c>
    </row>
    <row r="113" spans="1:10" ht="31.5" outlineLevel="1">
      <c r="A113" s="411"/>
      <c r="B113" s="6" t="s">
        <v>32</v>
      </c>
      <c r="C113" s="211">
        <v>0</v>
      </c>
      <c r="D113" s="211">
        <v>0</v>
      </c>
      <c r="E113" s="212">
        <v>0</v>
      </c>
      <c r="F113" s="212">
        <v>0</v>
      </c>
      <c r="G113" s="212">
        <v>0</v>
      </c>
      <c r="H113" s="212">
        <v>0</v>
      </c>
      <c r="I113" s="212"/>
      <c r="J113" s="214">
        <f t="shared" si="11"/>
        <v>0</v>
      </c>
    </row>
    <row r="114" spans="1:10" ht="15.75" outlineLevel="1">
      <c r="A114" s="411"/>
      <c r="B114" s="6" t="s">
        <v>33</v>
      </c>
      <c r="C114" s="211">
        <v>0</v>
      </c>
      <c r="D114" s="211">
        <v>0</v>
      </c>
      <c r="E114" s="212">
        <v>0</v>
      </c>
      <c r="F114" s="212">
        <v>0</v>
      </c>
      <c r="G114" s="212">
        <v>0</v>
      </c>
      <c r="H114" s="212">
        <v>0</v>
      </c>
      <c r="I114" s="212"/>
      <c r="J114" s="214">
        <f t="shared" si="11"/>
        <v>0</v>
      </c>
    </row>
    <row r="115" spans="1:10" ht="15.75" outlineLevel="1">
      <c r="A115" s="411"/>
      <c r="B115" s="6" t="s">
        <v>34</v>
      </c>
      <c r="C115" s="211">
        <v>0</v>
      </c>
      <c r="D115" s="211">
        <v>0</v>
      </c>
      <c r="E115" s="212">
        <v>0</v>
      </c>
      <c r="F115" s="212">
        <v>0</v>
      </c>
      <c r="G115" s="212">
        <v>0</v>
      </c>
      <c r="H115" s="212">
        <v>0</v>
      </c>
      <c r="I115" s="212"/>
      <c r="J115" s="214">
        <f t="shared" si="11"/>
        <v>0</v>
      </c>
    </row>
    <row r="116" spans="1:10" s="75" customFormat="1" ht="15.75" outlineLevel="1">
      <c r="A116" s="411"/>
      <c r="B116" s="209" t="s">
        <v>171</v>
      </c>
      <c r="C116" s="213">
        <f>SUM(C98:C115)</f>
        <v>0</v>
      </c>
      <c r="D116" s="213">
        <f t="shared" ref="D116:J116" si="12">SUM(D98:D115)</f>
        <v>0</v>
      </c>
      <c r="E116" s="213">
        <f t="shared" si="12"/>
        <v>0</v>
      </c>
      <c r="F116" s="213">
        <f t="shared" si="12"/>
        <v>0</v>
      </c>
      <c r="G116" s="213">
        <f t="shared" si="12"/>
        <v>0</v>
      </c>
      <c r="H116" s="213"/>
      <c r="I116" s="213"/>
      <c r="J116" s="213">
        <f t="shared" si="12"/>
        <v>0</v>
      </c>
    </row>
    <row r="117" spans="1:10" ht="38.25" customHeight="1">
      <c r="A117" s="411" t="s">
        <v>35</v>
      </c>
      <c r="B117" s="412" t="s">
        <v>178</v>
      </c>
      <c r="C117" s="413"/>
      <c r="D117" s="413"/>
      <c r="E117" s="413"/>
      <c r="F117" s="413"/>
      <c r="G117" s="413"/>
      <c r="H117" s="413"/>
      <c r="I117" s="413"/>
      <c r="J117" s="413"/>
    </row>
    <row r="118" spans="1:10" ht="18.75" outlineLevel="1">
      <c r="A118" s="411"/>
      <c r="B118" s="404" t="s">
        <v>167</v>
      </c>
      <c r="C118" s="405"/>
      <c r="D118" s="405"/>
      <c r="E118" s="405"/>
      <c r="F118" s="405"/>
      <c r="G118" s="405"/>
      <c r="H118" s="405"/>
      <c r="I118" s="405"/>
      <c r="J118" s="406"/>
    </row>
    <row r="119" spans="1:10" ht="15.75" outlineLevel="2">
      <c r="A119" s="411"/>
      <c r="B119" s="47" t="s">
        <v>11</v>
      </c>
      <c r="C119" s="215">
        <v>0</v>
      </c>
      <c r="D119" s="215">
        <v>506.97186569999985</v>
      </c>
      <c r="E119" s="215">
        <v>0</v>
      </c>
      <c r="F119" s="215">
        <v>0</v>
      </c>
      <c r="G119" s="215">
        <v>0</v>
      </c>
      <c r="H119" s="215">
        <v>0</v>
      </c>
      <c r="I119" s="215"/>
      <c r="J119" s="11">
        <f t="shared" ref="J119:J130" si="13">SUM(E119:I119)</f>
        <v>0</v>
      </c>
    </row>
    <row r="120" spans="1:10" ht="15.75" outlineLevel="2">
      <c r="A120" s="411"/>
      <c r="B120" s="47" t="s">
        <v>16</v>
      </c>
      <c r="C120" s="215">
        <v>0</v>
      </c>
      <c r="D120" s="215">
        <v>449.60401081875006</v>
      </c>
      <c r="E120" s="215">
        <v>8542.4762055562478</v>
      </c>
      <c r="F120" s="215">
        <v>0</v>
      </c>
      <c r="G120" s="215">
        <v>0</v>
      </c>
      <c r="H120" s="215">
        <v>0</v>
      </c>
      <c r="I120" s="215"/>
      <c r="J120" s="11">
        <f t="shared" si="13"/>
        <v>8542.4762055562478</v>
      </c>
    </row>
    <row r="121" spans="1:10" ht="15.75" outlineLevel="2">
      <c r="A121" s="411"/>
      <c r="B121" s="47" t="s">
        <v>41</v>
      </c>
      <c r="C121" s="215">
        <v>0</v>
      </c>
      <c r="D121" s="215">
        <v>2466.183</v>
      </c>
      <c r="E121" s="215">
        <v>0</v>
      </c>
      <c r="F121" s="215">
        <v>0</v>
      </c>
      <c r="G121" s="215">
        <v>0</v>
      </c>
      <c r="H121" s="215">
        <v>0</v>
      </c>
      <c r="I121" s="215"/>
      <c r="J121" s="11">
        <f t="shared" si="13"/>
        <v>0</v>
      </c>
    </row>
    <row r="122" spans="1:10" ht="15.75" outlineLevel="2">
      <c r="A122" s="411"/>
      <c r="B122" s="47" t="s">
        <v>10</v>
      </c>
      <c r="C122" s="215">
        <v>0</v>
      </c>
      <c r="D122" s="215">
        <v>666.77499999999998</v>
      </c>
      <c r="E122" s="215">
        <v>0</v>
      </c>
      <c r="F122" s="215">
        <v>0</v>
      </c>
      <c r="G122" s="215">
        <v>0</v>
      </c>
      <c r="H122" s="215">
        <v>0</v>
      </c>
      <c r="I122" s="215"/>
      <c r="J122" s="11">
        <f t="shared" si="13"/>
        <v>0</v>
      </c>
    </row>
    <row r="123" spans="1:10" ht="15.75" outlineLevel="2">
      <c r="A123" s="411"/>
      <c r="B123" s="47" t="s">
        <v>8</v>
      </c>
      <c r="C123" s="215">
        <v>0</v>
      </c>
      <c r="D123" s="215">
        <v>371.73200000000003</v>
      </c>
      <c r="E123" s="215">
        <v>0</v>
      </c>
      <c r="F123" s="215">
        <v>0</v>
      </c>
      <c r="G123" s="215">
        <v>0</v>
      </c>
      <c r="H123" s="215">
        <v>0</v>
      </c>
      <c r="I123" s="215"/>
      <c r="J123" s="11">
        <f t="shared" si="13"/>
        <v>0</v>
      </c>
    </row>
    <row r="124" spans="1:10" ht="15.75" outlineLevel="2">
      <c r="A124" s="411"/>
      <c r="B124" s="47" t="s">
        <v>42</v>
      </c>
      <c r="C124" s="215">
        <v>0</v>
      </c>
      <c r="D124" s="215">
        <v>457.27</v>
      </c>
      <c r="E124" s="215">
        <v>0</v>
      </c>
      <c r="F124" s="215">
        <v>0</v>
      </c>
      <c r="G124" s="215">
        <v>0</v>
      </c>
      <c r="H124" s="215">
        <v>0</v>
      </c>
      <c r="I124" s="215"/>
      <c r="J124" s="11">
        <f t="shared" si="13"/>
        <v>0</v>
      </c>
    </row>
    <row r="125" spans="1:10" ht="15.75" outlineLevel="2">
      <c r="A125" s="411"/>
      <c r="B125" s="47" t="s">
        <v>43</v>
      </c>
      <c r="C125" s="215">
        <v>0</v>
      </c>
      <c r="D125" s="215">
        <v>836.32342425000002</v>
      </c>
      <c r="E125" s="215">
        <v>0</v>
      </c>
      <c r="F125" s="215">
        <v>0</v>
      </c>
      <c r="G125" s="215">
        <v>0</v>
      </c>
      <c r="H125" s="215">
        <v>0</v>
      </c>
      <c r="I125" s="215"/>
      <c r="J125" s="11">
        <f t="shared" si="13"/>
        <v>0</v>
      </c>
    </row>
    <row r="126" spans="1:10" ht="15.75" outlineLevel="2">
      <c r="A126" s="411"/>
      <c r="B126" s="47" t="s">
        <v>9</v>
      </c>
      <c r="C126" s="215">
        <v>0</v>
      </c>
      <c r="D126" s="215">
        <v>641.71</v>
      </c>
      <c r="E126" s="215">
        <v>0</v>
      </c>
      <c r="F126" s="215">
        <v>0</v>
      </c>
      <c r="G126" s="215">
        <v>0</v>
      </c>
      <c r="H126" s="215">
        <v>0</v>
      </c>
      <c r="I126" s="215"/>
      <c r="J126" s="11">
        <f t="shared" si="13"/>
        <v>0</v>
      </c>
    </row>
    <row r="127" spans="1:10" ht="15.75" outlineLevel="2">
      <c r="A127" s="411"/>
      <c r="B127" s="47" t="s">
        <v>13</v>
      </c>
      <c r="C127" s="215">
        <v>0</v>
      </c>
      <c r="D127" s="215">
        <v>1207.3432815000001</v>
      </c>
      <c r="E127" s="215">
        <v>0</v>
      </c>
      <c r="F127" s="215">
        <v>0</v>
      </c>
      <c r="G127" s="215">
        <v>0</v>
      </c>
      <c r="H127" s="215">
        <v>0</v>
      </c>
      <c r="I127" s="215"/>
      <c r="J127" s="11">
        <f t="shared" si="13"/>
        <v>0</v>
      </c>
    </row>
    <row r="128" spans="1:10" ht="15.75" outlineLevel="2">
      <c r="A128" s="411"/>
      <c r="B128" s="47" t="s">
        <v>179</v>
      </c>
      <c r="C128" s="215">
        <v>0</v>
      </c>
      <c r="D128" s="215">
        <v>2566.7941207499998</v>
      </c>
      <c r="E128" s="215">
        <v>2566.7941207499998</v>
      </c>
      <c r="F128" s="215">
        <v>0</v>
      </c>
      <c r="G128" s="215">
        <v>0</v>
      </c>
      <c r="H128" s="215">
        <v>0</v>
      </c>
      <c r="I128" s="215"/>
      <c r="J128" s="11">
        <f t="shared" si="13"/>
        <v>2566.7941207499998</v>
      </c>
    </row>
    <row r="129" spans="1:10" ht="15.75" outlineLevel="2">
      <c r="A129" s="411"/>
      <c r="B129" s="47" t="s">
        <v>5</v>
      </c>
      <c r="C129" s="215">
        <v>0</v>
      </c>
      <c r="D129" s="215">
        <v>450.95699999999999</v>
      </c>
      <c r="E129" s="215">
        <v>0</v>
      </c>
      <c r="F129" s="215">
        <v>0</v>
      </c>
      <c r="G129" s="215">
        <v>0</v>
      </c>
      <c r="H129" s="215">
        <v>0</v>
      </c>
      <c r="I129" s="215"/>
      <c r="J129" s="11">
        <f t="shared" si="13"/>
        <v>0</v>
      </c>
    </row>
    <row r="130" spans="1:10" ht="15.75" outlineLevel="2">
      <c r="A130" s="411"/>
      <c r="B130" s="47" t="s">
        <v>44</v>
      </c>
      <c r="C130" s="215">
        <v>0</v>
      </c>
      <c r="D130" s="215">
        <v>436.35113324999998</v>
      </c>
      <c r="E130" s="215">
        <v>0</v>
      </c>
      <c r="F130" s="215"/>
      <c r="G130" s="215"/>
      <c r="H130" s="215"/>
      <c r="I130" s="215"/>
      <c r="J130" s="11">
        <f t="shared" si="13"/>
        <v>0</v>
      </c>
    </row>
    <row r="131" spans="1:10" s="75" customFormat="1" ht="15.75" outlineLevel="2">
      <c r="A131" s="411"/>
      <c r="B131" s="209" t="s">
        <v>169</v>
      </c>
      <c r="C131" s="105">
        <f t="shared" ref="C131:I131" si="14">SUM(C119:C130)</f>
        <v>0</v>
      </c>
      <c r="D131" s="105">
        <f t="shared" si="14"/>
        <v>11058.014836268751</v>
      </c>
      <c r="E131" s="105">
        <f t="shared" si="14"/>
        <v>11109.270326306247</v>
      </c>
      <c r="F131" s="105">
        <f t="shared" si="14"/>
        <v>0</v>
      </c>
      <c r="G131" s="105">
        <f t="shared" si="14"/>
        <v>0</v>
      </c>
      <c r="H131" s="105">
        <f t="shared" si="14"/>
        <v>0</v>
      </c>
      <c r="I131" s="105">
        <f t="shared" si="14"/>
        <v>0</v>
      </c>
      <c r="J131" s="105">
        <f>SUM(C131:G131)</f>
        <v>22167.285162574997</v>
      </c>
    </row>
    <row r="132" spans="1:10" ht="18.75" outlineLevel="1">
      <c r="A132" s="411"/>
      <c r="B132" s="404" t="s">
        <v>180</v>
      </c>
      <c r="C132" s="405"/>
      <c r="D132" s="405"/>
      <c r="E132" s="405"/>
      <c r="F132" s="405"/>
      <c r="G132" s="405"/>
      <c r="H132" s="405"/>
      <c r="I132" s="405"/>
      <c r="J132" s="406"/>
    </row>
    <row r="133" spans="1:10" ht="15.75" outlineLevel="1">
      <c r="A133" s="411"/>
      <c r="B133" s="216" t="s">
        <v>11</v>
      </c>
      <c r="C133" s="215">
        <v>2.4326999999999996</v>
      </c>
      <c r="D133" s="215">
        <v>779.62140219999992</v>
      </c>
      <c r="E133" s="215">
        <f>SUM(E134:E137)</f>
        <v>2083.0353320000004</v>
      </c>
      <c r="F133" s="217">
        <f>SUM(F134:F137)</f>
        <v>0</v>
      </c>
      <c r="G133" s="217">
        <f>SUM(G134:G137)</f>
        <v>0</v>
      </c>
      <c r="H133" s="217">
        <f>SUM(H134:H137)</f>
        <v>0</v>
      </c>
      <c r="I133" s="217"/>
      <c r="J133" s="11">
        <f t="shared" ref="J133:J186" si="15">SUM(E133:I133)</f>
        <v>2083.0353320000004</v>
      </c>
    </row>
    <row r="134" spans="1:10" ht="15.75" outlineLevel="2">
      <c r="A134" s="411"/>
      <c r="B134" s="47" t="s">
        <v>181</v>
      </c>
      <c r="C134" s="215">
        <v>0</v>
      </c>
      <c r="D134" s="218">
        <v>15.302802199999999</v>
      </c>
      <c r="E134" s="215">
        <v>118.202997</v>
      </c>
      <c r="F134" s="215"/>
      <c r="G134" s="215"/>
      <c r="H134" s="215"/>
      <c r="I134" s="215"/>
      <c r="J134" s="11">
        <f t="shared" si="15"/>
        <v>118.202997</v>
      </c>
    </row>
    <row r="135" spans="1:10" ht="15.75" outlineLevel="2">
      <c r="A135" s="411"/>
      <c r="B135" s="47" t="s">
        <v>182</v>
      </c>
      <c r="C135" s="215">
        <v>2.4326999999999996</v>
      </c>
      <c r="D135" s="218">
        <v>274.29059999999998</v>
      </c>
      <c r="E135" s="215">
        <v>395.93588449999999</v>
      </c>
      <c r="F135" s="215"/>
      <c r="G135" s="215"/>
      <c r="H135" s="215"/>
      <c r="I135" s="215"/>
      <c r="J135" s="11">
        <f t="shared" si="15"/>
        <v>395.93588449999999</v>
      </c>
    </row>
    <row r="136" spans="1:10" ht="31.5" outlineLevel="2">
      <c r="A136" s="411"/>
      <c r="B136" s="47" t="s">
        <v>183</v>
      </c>
      <c r="C136" s="215">
        <v>0</v>
      </c>
      <c r="D136" s="215">
        <v>80.510000000000005</v>
      </c>
      <c r="E136" s="215">
        <v>1071.3066000000001</v>
      </c>
      <c r="F136" s="215"/>
      <c r="G136" s="215"/>
      <c r="H136" s="215"/>
      <c r="I136" s="215"/>
      <c r="J136" s="11">
        <f t="shared" si="15"/>
        <v>1071.3066000000001</v>
      </c>
    </row>
    <row r="137" spans="1:10" ht="31.5" outlineLevel="2">
      <c r="A137" s="411"/>
      <c r="B137" s="47" t="s">
        <v>184</v>
      </c>
      <c r="C137" s="215">
        <v>0</v>
      </c>
      <c r="D137" s="215">
        <v>409.51799999999997</v>
      </c>
      <c r="E137" s="215">
        <v>497.58985050000001</v>
      </c>
      <c r="F137" s="215"/>
      <c r="G137" s="215"/>
      <c r="H137" s="215"/>
      <c r="I137" s="215"/>
      <c r="J137" s="11">
        <f t="shared" si="15"/>
        <v>497.58985050000001</v>
      </c>
    </row>
    <row r="138" spans="1:10" ht="15.75" outlineLevel="1">
      <c r="A138" s="411"/>
      <c r="B138" s="216" t="s">
        <v>16</v>
      </c>
      <c r="C138" s="215">
        <v>1748.96675</v>
      </c>
      <c r="D138" s="215">
        <v>240473.18510150001</v>
      </c>
      <c r="E138" s="215">
        <f>SUM(E139:E145)</f>
        <v>410354.24148849997</v>
      </c>
      <c r="F138" s="217">
        <f t="shared" ref="F138:H138" si="16">SUM(F139:F145)</f>
        <v>0</v>
      </c>
      <c r="G138" s="217">
        <f t="shared" si="16"/>
        <v>0</v>
      </c>
      <c r="H138" s="217">
        <f t="shared" si="16"/>
        <v>0</v>
      </c>
      <c r="I138" s="217"/>
      <c r="J138" s="11">
        <f t="shared" si="15"/>
        <v>410354.24148849997</v>
      </c>
    </row>
    <row r="139" spans="1:10" ht="15.75" outlineLevel="2">
      <c r="A139" s="411"/>
      <c r="B139" s="47" t="s">
        <v>38</v>
      </c>
      <c r="C139" s="215">
        <v>1058.3</v>
      </c>
      <c r="D139" s="215">
        <v>6174.74</v>
      </c>
      <c r="E139" s="215">
        <v>0</v>
      </c>
      <c r="F139" s="215"/>
      <c r="G139" s="215"/>
      <c r="H139" s="215"/>
      <c r="I139" s="215"/>
      <c r="J139" s="11">
        <f t="shared" si="15"/>
        <v>0</v>
      </c>
    </row>
    <row r="140" spans="1:10" ht="15.75" outlineLevel="2">
      <c r="A140" s="411"/>
      <c r="B140" s="47" t="s">
        <v>39</v>
      </c>
      <c r="C140" s="215">
        <v>0</v>
      </c>
      <c r="D140" s="215">
        <v>7478.87</v>
      </c>
      <c r="E140" s="215">
        <v>18724.394550000001</v>
      </c>
      <c r="F140" s="215"/>
      <c r="G140" s="215"/>
      <c r="H140" s="215"/>
      <c r="I140" s="215"/>
      <c r="J140" s="11">
        <f t="shared" si="15"/>
        <v>18724.394550000001</v>
      </c>
    </row>
    <row r="141" spans="1:10" ht="31.5" outlineLevel="2">
      <c r="A141" s="411"/>
      <c r="B141" s="47" t="s">
        <v>40</v>
      </c>
      <c r="C141" s="215">
        <v>0</v>
      </c>
      <c r="D141" s="215">
        <v>46718.453786300001</v>
      </c>
      <c r="E141" s="215">
        <v>26156.339210000002</v>
      </c>
      <c r="F141" s="215"/>
      <c r="G141" s="215"/>
      <c r="H141" s="215"/>
      <c r="I141" s="215"/>
      <c r="J141" s="11">
        <f t="shared" si="15"/>
        <v>26156.339210000002</v>
      </c>
    </row>
    <row r="142" spans="1:10" ht="15.75" outlineLevel="2">
      <c r="A142" s="411"/>
      <c r="B142" s="47" t="s">
        <v>181</v>
      </c>
      <c r="C142" s="215">
        <v>0</v>
      </c>
      <c r="D142" s="215">
        <v>17527.067415199999</v>
      </c>
      <c r="E142" s="215">
        <v>21191.881232700001</v>
      </c>
      <c r="F142" s="215"/>
      <c r="G142" s="215"/>
      <c r="H142" s="215"/>
      <c r="I142" s="215"/>
      <c r="J142" s="11">
        <f t="shared" si="15"/>
        <v>21191.881232700001</v>
      </c>
    </row>
    <row r="143" spans="1:10" ht="15.75" outlineLevel="2">
      <c r="A143" s="411"/>
      <c r="B143" s="47" t="s">
        <v>182</v>
      </c>
      <c r="C143" s="215">
        <v>690.66674999999998</v>
      </c>
      <c r="D143" s="215">
        <v>77882.814900000012</v>
      </c>
      <c r="E143" s="215">
        <v>110099.22720379999</v>
      </c>
      <c r="F143" s="215"/>
      <c r="G143" s="215"/>
      <c r="H143" s="215"/>
      <c r="I143" s="215"/>
      <c r="J143" s="11">
        <f t="shared" si="15"/>
        <v>110099.22720379999</v>
      </c>
    </row>
    <row r="144" spans="1:10" ht="31.5" outlineLevel="2">
      <c r="A144" s="411"/>
      <c r="B144" s="47" t="s">
        <v>183</v>
      </c>
      <c r="C144" s="215">
        <v>0</v>
      </c>
      <c r="D144" s="215">
        <v>31343.116000000002</v>
      </c>
      <c r="E144" s="215">
        <v>99685.403999999995</v>
      </c>
      <c r="F144" s="215"/>
      <c r="G144" s="215"/>
      <c r="H144" s="215"/>
      <c r="I144" s="215"/>
      <c r="J144" s="11">
        <f t="shared" si="15"/>
        <v>99685.403999999995</v>
      </c>
    </row>
    <row r="145" spans="1:10" ht="31.5" outlineLevel="2">
      <c r="A145" s="411"/>
      <c r="B145" s="47" t="s">
        <v>184</v>
      </c>
      <c r="C145" s="215">
        <v>0</v>
      </c>
      <c r="D145" s="215">
        <v>53348.123</v>
      </c>
      <c r="E145" s="215">
        <v>134496.99529200001</v>
      </c>
      <c r="F145" s="215"/>
      <c r="G145" s="215"/>
      <c r="H145" s="215"/>
      <c r="I145" s="215"/>
      <c r="J145" s="11">
        <f t="shared" si="15"/>
        <v>134496.99529200001</v>
      </c>
    </row>
    <row r="146" spans="1:10" ht="15.75" outlineLevel="1">
      <c r="A146" s="411"/>
      <c r="B146" s="216" t="s">
        <v>41</v>
      </c>
      <c r="C146" s="215">
        <v>153.34784999999999</v>
      </c>
      <c r="D146" s="215">
        <v>38779.280952199995</v>
      </c>
      <c r="E146" s="215">
        <f>SUM(E147:E150)</f>
        <v>84206.990306799999</v>
      </c>
      <c r="F146" s="217">
        <f t="shared" ref="F146:H186" si="17">SUM(F147:F150)</f>
        <v>0</v>
      </c>
      <c r="G146" s="217">
        <f t="shared" si="17"/>
        <v>0</v>
      </c>
      <c r="H146" s="217">
        <f t="shared" si="17"/>
        <v>0</v>
      </c>
      <c r="I146" s="217"/>
      <c r="J146" s="11">
        <f t="shared" si="15"/>
        <v>84206.990306799999</v>
      </c>
    </row>
    <row r="147" spans="1:10" ht="15.75" outlineLevel="2">
      <c r="A147" s="411"/>
      <c r="B147" s="47" t="s">
        <v>181</v>
      </c>
      <c r="C147" s="215">
        <v>0</v>
      </c>
      <c r="D147" s="215">
        <v>1802.9012021999997</v>
      </c>
      <c r="E147" s="215">
        <v>3801.1394307</v>
      </c>
      <c r="F147" s="215"/>
      <c r="G147" s="215"/>
      <c r="H147" s="215"/>
      <c r="I147" s="215"/>
      <c r="J147" s="11">
        <f t="shared" si="15"/>
        <v>3801.1394307</v>
      </c>
    </row>
    <row r="148" spans="1:10" ht="15.75" outlineLevel="2">
      <c r="A148" s="411"/>
      <c r="B148" s="47" t="s">
        <v>182</v>
      </c>
      <c r="C148" s="215">
        <v>153.34784999999999</v>
      </c>
      <c r="D148" s="215">
        <v>17277.687750000001</v>
      </c>
      <c r="E148" s="215">
        <v>24199.650460600002</v>
      </c>
      <c r="F148" s="215"/>
      <c r="G148" s="215"/>
      <c r="H148" s="215"/>
      <c r="I148" s="215"/>
      <c r="J148" s="11">
        <f t="shared" si="15"/>
        <v>24199.650460600002</v>
      </c>
    </row>
    <row r="149" spans="1:10" ht="31.5" outlineLevel="2">
      <c r="A149" s="411"/>
      <c r="B149" s="47" t="s">
        <v>183</v>
      </c>
      <c r="C149" s="215">
        <v>0</v>
      </c>
      <c r="D149" s="215">
        <v>6889.1689999999999</v>
      </c>
      <c r="E149" s="215">
        <v>23935.657199999998</v>
      </c>
      <c r="F149" s="215"/>
      <c r="G149" s="215"/>
      <c r="H149" s="215"/>
      <c r="I149" s="215"/>
      <c r="J149" s="11">
        <f t="shared" si="15"/>
        <v>23935.657199999998</v>
      </c>
    </row>
    <row r="150" spans="1:10" ht="31.5" outlineLevel="2">
      <c r="A150" s="411"/>
      <c r="B150" s="47" t="s">
        <v>184</v>
      </c>
      <c r="C150" s="215">
        <v>0</v>
      </c>
      <c r="D150" s="215">
        <v>12809.522999999999</v>
      </c>
      <c r="E150" s="215">
        <v>32270.543215500002</v>
      </c>
      <c r="F150" s="215"/>
      <c r="G150" s="215"/>
      <c r="H150" s="215"/>
      <c r="I150" s="215"/>
      <c r="J150" s="11">
        <f t="shared" si="15"/>
        <v>32270.543215500002</v>
      </c>
    </row>
    <row r="151" spans="1:10" ht="15.75" outlineLevel="1">
      <c r="A151" s="411"/>
      <c r="B151" s="216" t="s">
        <v>10</v>
      </c>
      <c r="C151" s="215">
        <v>9.2475000000000005</v>
      </c>
      <c r="D151" s="215">
        <v>2703.7268316</v>
      </c>
      <c r="E151" s="215">
        <f>SUM(E152:E155)</f>
        <v>7072.1796319000005</v>
      </c>
      <c r="F151" s="217">
        <f t="shared" si="17"/>
        <v>0</v>
      </c>
      <c r="G151" s="217">
        <f t="shared" si="17"/>
        <v>0</v>
      </c>
      <c r="H151" s="217">
        <f t="shared" si="17"/>
        <v>0</v>
      </c>
      <c r="I151" s="217"/>
      <c r="J151" s="11">
        <f t="shared" si="15"/>
        <v>7072.1796319000005</v>
      </c>
    </row>
    <row r="152" spans="1:10" ht="15.75" outlineLevel="2">
      <c r="A152" s="411"/>
      <c r="B152" s="47" t="s">
        <v>181</v>
      </c>
      <c r="C152" s="215">
        <v>0</v>
      </c>
      <c r="D152" s="219">
        <v>27.4952316</v>
      </c>
      <c r="E152" s="215">
        <v>36.239027999999998</v>
      </c>
      <c r="F152" s="215"/>
      <c r="G152" s="215"/>
      <c r="H152" s="215"/>
      <c r="I152" s="215"/>
      <c r="J152" s="11">
        <f t="shared" si="15"/>
        <v>36.239027999999998</v>
      </c>
    </row>
    <row r="153" spans="1:10" ht="15.75" outlineLevel="2">
      <c r="A153" s="411"/>
      <c r="B153" s="47" t="s">
        <v>182</v>
      </c>
      <c r="C153" s="215">
        <v>9.2475000000000005</v>
      </c>
      <c r="D153" s="218">
        <v>1043.0735999999999</v>
      </c>
      <c r="E153" s="215">
        <v>1576.6366458999998</v>
      </c>
      <c r="F153" s="215"/>
      <c r="G153" s="215"/>
      <c r="H153" s="215"/>
      <c r="I153" s="215"/>
      <c r="J153" s="11">
        <f t="shared" si="15"/>
        <v>1576.6366458999998</v>
      </c>
    </row>
    <row r="154" spans="1:10" ht="31.5" outlineLevel="2">
      <c r="A154" s="411"/>
      <c r="B154" s="47" t="s">
        <v>183</v>
      </c>
      <c r="C154" s="215">
        <v>0</v>
      </c>
      <c r="D154" s="218">
        <v>320.59500000000003</v>
      </c>
      <c r="E154" s="215">
        <v>3433.6848</v>
      </c>
      <c r="F154" s="215"/>
      <c r="G154" s="215"/>
      <c r="H154" s="215"/>
      <c r="I154" s="215"/>
      <c r="J154" s="11">
        <f t="shared" si="15"/>
        <v>3433.6848</v>
      </c>
    </row>
    <row r="155" spans="1:10" ht="31.5" outlineLevel="2">
      <c r="A155" s="411"/>
      <c r="B155" s="47" t="s">
        <v>184</v>
      </c>
      <c r="C155" s="215">
        <v>0</v>
      </c>
      <c r="D155" s="218">
        <v>1312.5630000000001</v>
      </c>
      <c r="E155" s="215">
        <v>2025.619158</v>
      </c>
      <c r="F155" s="215"/>
      <c r="G155" s="215"/>
      <c r="H155" s="215"/>
      <c r="I155" s="215"/>
      <c r="J155" s="11">
        <f t="shared" si="15"/>
        <v>2025.619158</v>
      </c>
    </row>
    <row r="156" spans="1:10" ht="15.75" outlineLevel="1">
      <c r="A156" s="411"/>
      <c r="B156" s="216" t="s">
        <v>8</v>
      </c>
      <c r="C156" s="215">
        <v>7.1118000000000006</v>
      </c>
      <c r="D156" s="215">
        <v>1829.9796104000002</v>
      </c>
      <c r="E156" s="215">
        <f>SUM(E157:E160)</f>
        <v>4970.5061218999999</v>
      </c>
      <c r="F156" s="217">
        <f t="shared" si="17"/>
        <v>0</v>
      </c>
      <c r="G156" s="217">
        <f t="shared" si="17"/>
        <v>0</v>
      </c>
      <c r="H156" s="217">
        <f t="shared" si="17"/>
        <v>0</v>
      </c>
      <c r="I156" s="217"/>
      <c r="J156" s="11">
        <f t="shared" si="15"/>
        <v>4970.5061218999999</v>
      </c>
    </row>
    <row r="157" spans="1:10" ht="15.75" outlineLevel="2">
      <c r="A157" s="411"/>
      <c r="B157" s="47" t="s">
        <v>181</v>
      </c>
      <c r="C157" s="215">
        <v>0</v>
      </c>
      <c r="D157" s="215">
        <v>29.975710400000001</v>
      </c>
      <c r="E157" s="215">
        <v>100.9768318</v>
      </c>
      <c r="F157" s="215"/>
      <c r="G157" s="215"/>
      <c r="H157" s="215"/>
      <c r="I157" s="215"/>
      <c r="J157" s="11">
        <f t="shared" si="15"/>
        <v>100.9768318</v>
      </c>
    </row>
    <row r="158" spans="1:10" ht="15.75" outlineLevel="2">
      <c r="A158" s="411"/>
      <c r="B158" s="47" t="s">
        <v>182</v>
      </c>
      <c r="C158" s="215">
        <v>7.1118000000000006</v>
      </c>
      <c r="D158" s="215">
        <v>802.15290000000005</v>
      </c>
      <c r="E158" s="215">
        <v>1166.7603196</v>
      </c>
      <c r="F158" s="215"/>
      <c r="G158" s="215"/>
      <c r="H158" s="215"/>
      <c r="I158" s="215"/>
      <c r="J158" s="11">
        <f t="shared" si="15"/>
        <v>1166.7603196</v>
      </c>
    </row>
    <row r="159" spans="1:10" ht="31.5" outlineLevel="2">
      <c r="A159" s="411"/>
      <c r="B159" s="47" t="s">
        <v>183</v>
      </c>
      <c r="C159" s="215">
        <v>0</v>
      </c>
      <c r="D159" s="215">
        <v>237.255</v>
      </c>
      <c r="E159" s="215">
        <v>1989.7331999999999</v>
      </c>
      <c r="F159" s="215"/>
      <c r="G159" s="215"/>
      <c r="H159" s="215"/>
      <c r="I159" s="215"/>
      <c r="J159" s="11">
        <f t="shared" si="15"/>
        <v>1989.7331999999999</v>
      </c>
    </row>
    <row r="160" spans="1:10" ht="31.5" outlineLevel="2">
      <c r="A160" s="411"/>
      <c r="B160" s="47" t="s">
        <v>184</v>
      </c>
      <c r="C160" s="215">
        <v>0</v>
      </c>
      <c r="D160" s="215">
        <v>760.596</v>
      </c>
      <c r="E160" s="215">
        <v>1713.0357705000001</v>
      </c>
      <c r="F160" s="215"/>
      <c r="G160" s="215"/>
      <c r="H160" s="215"/>
      <c r="I160" s="215"/>
      <c r="J160" s="11">
        <f t="shared" si="15"/>
        <v>1713.0357705000001</v>
      </c>
    </row>
    <row r="161" spans="1:10" ht="15.75" outlineLevel="1">
      <c r="A161" s="411"/>
      <c r="B161" s="216" t="s">
        <v>42</v>
      </c>
      <c r="C161" s="215">
        <v>35.803350000000002</v>
      </c>
      <c r="D161" s="215">
        <v>9727.8239103999986</v>
      </c>
      <c r="E161" s="215">
        <f>SUM(E162:E165)</f>
        <v>19949.356720100001</v>
      </c>
      <c r="F161" s="217">
        <f t="shared" si="17"/>
        <v>0</v>
      </c>
      <c r="G161" s="217">
        <f t="shared" si="17"/>
        <v>0</v>
      </c>
      <c r="H161" s="217">
        <f t="shared" si="17"/>
        <v>0</v>
      </c>
      <c r="I161" s="217"/>
      <c r="J161" s="11">
        <f t="shared" si="15"/>
        <v>19949.356720100001</v>
      </c>
    </row>
    <row r="162" spans="1:10" ht="15.75" outlineLevel="2">
      <c r="A162" s="411"/>
      <c r="B162" s="47" t="s">
        <v>181</v>
      </c>
      <c r="C162" s="215">
        <v>0</v>
      </c>
      <c r="D162" s="215">
        <v>29.975710400000001</v>
      </c>
      <c r="E162" s="215">
        <v>54.112318700000003</v>
      </c>
      <c r="F162" s="215"/>
      <c r="G162" s="215"/>
      <c r="H162" s="215"/>
      <c r="I162" s="215"/>
      <c r="J162" s="11">
        <f t="shared" si="15"/>
        <v>54.112318700000003</v>
      </c>
    </row>
    <row r="163" spans="1:10" ht="15.75" outlineLevel="2">
      <c r="A163" s="411"/>
      <c r="B163" s="47" t="s">
        <v>182</v>
      </c>
      <c r="C163" s="215">
        <v>35.803350000000002</v>
      </c>
      <c r="D163" s="215">
        <v>4031.3292000000001</v>
      </c>
      <c r="E163" s="215">
        <v>5273.7238434000001</v>
      </c>
      <c r="F163" s="215"/>
      <c r="G163" s="215"/>
      <c r="H163" s="215"/>
      <c r="I163" s="215"/>
      <c r="J163" s="11">
        <f t="shared" si="15"/>
        <v>5273.7238434000001</v>
      </c>
    </row>
    <row r="164" spans="1:10" ht="31.5" outlineLevel="2">
      <c r="A164" s="411"/>
      <c r="B164" s="47" t="s">
        <v>183</v>
      </c>
      <c r="C164" s="215">
        <v>0</v>
      </c>
      <c r="D164" s="218">
        <v>1286.8499999999999</v>
      </c>
      <c r="E164" s="215">
        <v>9547.7381999999998</v>
      </c>
      <c r="F164" s="215"/>
      <c r="G164" s="215"/>
      <c r="H164" s="215"/>
      <c r="I164" s="215"/>
      <c r="J164" s="11">
        <f t="shared" si="15"/>
        <v>9547.7381999999998</v>
      </c>
    </row>
    <row r="165" spans="1:10" ht="31.5" outlineLevel="2">
      <c r="A165" s="411"/>
      <c r="B165" s="47" t="s">
        <v>184</v>
      </c>
      <c r="C165" s="215">
        <v>0</v>
      </c>
      <c r="D165" s="215">
        <v>4379.6689999999999</v>
      </c>
      <c r="E165" s="215">
        <v>5073.7823580000004</v>
      </c>
      <c r="F165" s="215"/>
      <c r="G165" s="215"/>
      <c r="H165" s="215"/>
      <c r="I165" s="215"/>
      <c r="J165" s="11">
        <f t="shared" si="15"/>
        <v>5073.7823580000004</v>
      </c>
    </row>
    <row r="166" spans="1:10" ht="15.75" outlineLevel="1">
      <c r="A166" s="411"/>
      <c r="B166" s="216" t="s">
        <v>43</v>
      </c>
      <c r="C166" s="215">
        <v>20.7441</v>
      </c>
      <c r="D166" s="215">
        <v>3747.0005554999998</v>
      </c>
      <c r="E166" s="215">
        <f>SUM(E167:E170)</f>
        <v>11992.192437199999</v>
      </c>
      <c r="F166" s="217">
        <f t="shared" si="17"/>
        <v>0</v>
      </c>
      <c r="G166" s="217">
        <f t="shared" si="17"/>
        <v>0</v>
      </c>
      <c r="H166" s="217">
        <f t="shared" si="17"/>
        <v>0</v>
      </c>
      <c r="I166" s="217"/>
      <c r="J166" s="11">
        <f t="shared" si="15"/>
        <v>11992.192437199999</v>
      </c>
    </row>
    <row r="167" spans="1:10" ht="15.75" outlineLevel="2">
      <c r="A167" s="411"/>
      <c r="B167" s="47" t="s">
        <v>181</v>
      </c>
      <c r="C167" s="215">
        <v>0</v>
      </c>
      <c r="D167" s="219">
        <v>221.79940550000001</v>
      </c>
      <c r="E167" s="215">
        <v>851.11839889999999</v>
      </c>
      <c r="F167" s="215"/>
      <c r="G167" s="215"/>
      <c r="H167" s="215"/>
      <c r="I167" s="215"/>
      <c r="J167" s="11">
        <f t="shared" si="15"/>
        <v>851.11839889999999</v>
      </c>
    </row>
    <row r="168" spans="1:10" ht="15.75" outlineLevel="2">
      <c r="A168" s="411"/>
      <c r="B168" s="47" t="s">
        <v>182</v>
      </c>
      <c r="C168" s="215">
        <v>20.7441</v>
      </c>
      <c r="D168" s="220">
        <v>2335.3411499999997</v>
      </c>
      <c r="E168" s="215">
        <v>3015.9189378000001</v>
      </c>
      <c r="F168" s="215"/>
      <c r="G168" s="215"/>
      <c r="H168" s="215"/>
      <c r="I168" s="215"/>
      <c r="J168" s="11">
        <f t="shared" si="15"/>
        <v>3015.9189378000001</v>
      </c>
    </row>
    <row r="169" spans="1:10" ht="31.5" outlineLevel="2">
      <c r="A169" s="411"/>
      <c r="B169" s="47" t="s">
        <v>183</v>
      </c>
      <c r="C169" s="215">
        <v>0</v>
      </c>
      <c r="D169" s="218">
        <v>367.959</v>
      </c>
      <c r="E169" s="215">
        <v>3583.5072</v>
      </c>
      <c r="F169" s="215"/>
      <c r="G169" s="215"/>
      <c r="H169" s="215"/>
      <c r="I169" s="215"/>
      <c r="J169" s="11">
        <f t="shared" si="15"/>
        <v>3583.5072</v>
      </c>
    </row>
    <row r="170" spans="1:10" ht="31.5" outlineLevel="2">
      <c r="A170" s="411"/>
      <c r="B170" s="47" t="s">
        <v>184</v>
      </c>
      <c r="C170" s="215">
        <v>0</v>
      </c>
      <c r="D170" s="218">
        <v>821.90099999999995</v>
      </c>
      <c r="E170" s="215">
        <v>4541.6479005000001</v>
      </c>
      <c r="F170" s="215"/>
      <c r="G170" s="215"/>
      <c r="H170" s="215"/>
      <c r="I170" s="215"/>
      <c r="J170" s="11">
        <f t="shared" si="15"/>
        <v>4541.6479005000001</v>
      </c>
    </row>
    <row r="171" spans="1:10" ht="15.75" outlineLevel="1">
      <c r="A171" s="411"/>
      <c r="B171" s="216" t="s">
        <v>9</v>
      </c>
      <c r="C171" s="215">
        <v>8.4685499999999987</v>
      </c>
      <c r="D171" s="215">
        <v>1582.6478333999999</v>
      </c>
      <c r="E171" s="215">
        <f>SUM(E172:E175)</f>
        <v>4902.1948298000007</v>
      </c>
      <c r="F171" s="217">
        <f t="shared" si="17"/>
        <v>0</v>
      </c>
      <c r="G171" s="217">
        <f t="shared" si="17"/>
        <v>0</v>
      </c>
      <c r="H171" s="217">
        <f t="shared" si="17"/>
        <v>0</v>
      </c>
      <c r="I171" s="217"/>
      <c r="J171" s="11">
        <f t="shared" si="15"/>
        <v>4902.1948298000007</v>
      </c>
    </row>
    <row r="172" spans="1:10" ht="15.75" outlineLevel="2">
      <c r="A172" s="411"/>
      <c r="B172" s="47" t="s">
        <v>181</v>
      </c>
      <c r="C172" s="215">
        <v>0</v>
      </c>
      <c r="D172" s="215">
        <v>44.858583400000001</v>
      </c>
      <c r="E172" s="215">
        <v>305.52057580000002</v>
      </c>
      <c r="F172" s="215"/>
      <c r="G172" s="215"/>
      <c r="H172" s="215"/>
      <c r="I172" s="215"/>
      <c r="J172" s="11">
        <f t="shared" si="15"/>
        <v>305.52057580000002</v>
      </c>
    </row>
    <row r="173" spans="1:10" ht="15.75" outlineLevel="2">
      <c r="A173" s="411"/>
      <c r="B173" s="47" t="s">
        <v>182</v>
      </c>
      <c r="C173" s="215">
        <v>8.4685499999999987</v>
      </c>
      <c r="D173" s="215">
        <v>953.55224999999996</v>
      </c>
      <c r="E173" s="215">
        <v>1246.4395120000001</v>
      </c>
      <c r="F173" s="215"/>
      <c r="G173" s="215"/>
      <c r="H173" s="215"/>
      <c r="I173" s="215"/>
      <c r="J173" s="11">
        <f t="shared" si="15"/>
        <v>1246.4395120000001</v>
      </c>
    </row>
    <row r="174" spans="1:10" ht="31.5" outlineLevel="2">
      <c r="A174" s="411"/>
      <c r="B174" s="47" t="s">
        <v>183</v>
      </c>
      <c r="C174" s="215">
        <v>0</v>
      </c>
      <c r="D174" s="215">
        <v>152.07300000000001</v>
      </c>
      <c r="E174" s="215">
        <v>1884.2460000000001</v>
      </c>
      <c r="F174" s="215"/>
      <c r="G174" s="215"/>
      <c r="H174" s="215"/>
      <c r="I174" s="215"/>
      <c r="J174" s="11">
        <f t="shared" si="15"/>
        <v>1884.2460000000001</v>
      </c>
    </row>
    <row r="175" spans="1:10" ht="31.5" outlineLevel="2">
      <c r="A175" s="411"/>
      <c r="B175" s="47" t="s">
        <v>184</v>
      </c>
      <c r="C175" s="215">
        <v>0</v>
      </c>
      <c r="D175" s="215">
        <v>432.16399999999999</v>
      </c>
      <c r="E175" s="215">
        <v>1465.988742</v>
      </c>
      <c r="F175" s="215"/>
      <c r="G175" s="215"/>
      <c r="H175" s="215"/>
      <c r="I175" s="215"/>
      <c r="J175" s="11">
        <f t="shared" si="15"/>
        <v>1465.988742</v>
      </c>
    </row>
    <row r="176" spans="1:10" ht="15.75" outlineLevel="1">
      <c r="A176" s="411"/>
      <c r="B176" s="216" t="s">
        <v>13</v>
      </c>
      <c r="C176" s="215">
        <v>28.725300000000001</v>
      </c>
      <c r="D176" s="215">
        <v>8036.4419902999998</v>
      </c>
      <c r="E176" s="215">
        <f>SUM(E177:E180)</f>
        <v>23694.792348300001</v>
      </c>
      <c r="F176" s="221">
        <f t="shared" si="17"/>
        <v>0</v>
      </c>
      <c r="G176" s="221">
        <f t="shared" si="17"/>
        <v>0</v>
      </c>
      <c r="H176" s="221">
        <f t="shared" si="17"/>
        <v>0</v>
      </c>
      <c r="I176" s="221"/>
      <c r="J176" s="11">
        <f t="shared" si="15"/>
        <v>23694.792348300001</v>
      </c>
    </row>
    <row r="177" spans="1:14" ht="15.75" outlineLevel="2">
      <c r="A177" s="411"/>
      <c r="B177" s="47" t="s">
        <v>181</v>
      </c>
      <c r="C177" s="215">
        <v>0</v>
      </c>
      <c r="D177" s="219">
        <v>836.34129029999997</v>
      </c>
      <c r="E177" s="215">
        <v>2899.4836869000001</v>
      </c>
      <c r="F177" s="215"/>
      <c r="G177" s="215"/>
      <c r="H177" s="215"/>
      <c r="I177" s="215"/>
      <c r="J177" s="11">
        <f t="shared" si="15"/>
        <v>2899.4836869000001</v>
      </c>
    </row>
    <row r="178" spans="1:14" ht="15.75" outlineLevel="2">
      <c r="A178" s="411"/>
      <c r="B178" s="47" t="s">
        <v>182</v>
      </c>
      <c r="C178" s="215">
        <v>28.725300000000001</v>
      </c>
      <c r="D178" s="220">
        <v>3249.2937000000002</v>
      </c>
      <c r="E178" s="215">
        <v>5737.7218854000002</v>
      </c>
      <c r="F178" s="215"/>
      <c r="G178" s="215"/>
      <c r="H178" s="215"/>
      <c r="I178" s="215"/>
      <c r="J178" s="11">
        <f t="shared" si="15"/>
        <v>5737.7218854000002</v>
      </c>
    </row>
    <row r="179" spans="1:14" ht="31.5" outlineLevel="2">
      <c r="A179" s="411"/>
      <c r="B179" s="47" t="s">
        <v>183</v>
      </c>
      <c r="C179" s="215">
        <v>0</v>
      </c>
      <c r="D179" s="218">
        <v>1400.076</v>
      </c>
      <c r="E179" s="215">
        <v>5560.6278000000002</v>
      </c>
      <c r="F179" s="215"/>
      <c r="G179" s="215"/>
      <c r="H179" s="215"/>
      <c r="I179" s="215"/>
      <c r="J179" s="11">
        <f t="shared" si="15"/>
        <v>5560.6278000000002</v>
      </c>
    </row>
    <row r="180" spans="1:14" ht="31.5" outlineLevel="2">
      <c r="A180" s="411"/>
      <c r="B180" s="47" t="s">
        <v>184</v>
      </c>
      <c r="C180" s="215">
        <v>0</v>
      </c>
      <c r="D180" s="218">
        <v>2550.7310000000002</v>
      </c>
      <c r="E180" s="215">
        <v>9496.9589759999999</v>
      </c>
      <c r="F180" s="215"/>
      <c r="G180" s="215"/>
      <c r="H180" s="215"/>
      <c r="I180" s="215"/>
      <c r="J180" s="11">
        <f t="shared" si="15"/>
        <v>9496.9589759999999</v>
      </c>
    </row>
    <row r="181" spans="1:14" ht="15.75" outlineLevel="1">
      <c r="A181" s="411"/>
      <c r="B181" s="216" t="s">
        <v>5</v>
      </c>
      <c r="C181" s="215">
        <v>11.443950000000001</v>
      </c>
      <c r="D181" s="215">
        <v>2859.0102477</v>
      </c>
      <c r="E181" s="215">
        <f>SUM(E182:E185)</f>
        <v>6483.2487531999996</v>
      </c>
      <c r="F181" s="217">
        <f t="shared" si="17"/>
        <v>0</v>
      </c>
      <c r="G181" s="217">
        <f t="shared" si="17"/>
        <v>0</v>
      </c>
      <c r="H181" s="217">
        <f t="shared" si="17"/>
        <v>0</v>
      </c>
      <c r="I181" s="217"/>
      <c r="J181" s="11">
        <f t="shared" si="15"/>
        <v>6483.2487531999996</v>
      </c>
    </row>
    <row r="182" spans="1:14" ht="15.75" outlineLevel="2">
      <c r="A182" s="411"/>
      <c r="B182" s="47" t="s">
        <v>181</v>
      </c>
      <c r="C182" s="215">
        <v>0</v>
      </c>
      <c r="D182" s="215">
        <v>21.707447699999996</v>
      </c>
      <c r="E182" s="215">
        <v>180.2718026</v>
      </c>
      <c r="F182" s="215">
        <v>0</v>
      </c>
      <c r="G182" s="215">
        <v>0</v>
      </c>
      <c r="H182" s="215">
        <v>0</v>
      </c>
      <c r="I182" s="215"/>
      <c r="J182" s="11">
        <f t="shared" si="15"/>
        <v>180.2718026</v>
      </c>
      <c r="N182" s="12"/>
    </row>
    <row r="183" spans="1:14" ht="15.75" outlineLevel="2">
      <c r="A183" s="411"/>
      <c r="B183" s="47" t="s">
        <v>182</v>
      </c>
      <c r="C183" s="215">
        <v>11.443950000000001</v>
      </c>
      <c r="D183" s="215">
        <v>1288.7328</v>
      </c>
      <c r="E183" s="215">
        <v>1701.9639521000001</v>
      </c>
      <c r="F183" s="215">
        <v>0</v>
      </c>
      <c r="G183" s="215">
        <v>0</v>
      </c>
      <c r="H183" s="215">
        <v>0</v>
      </c>
      <c r="I183" s="215"/>
      <c r="J183" s="11">
        <f t="shared" si="15"/>
        <v>1701.9639521000001</v>
      </c>
      <c r="N183" s="12"/>
    </row>
    <row r="184" spans="1:14" ht="31.5" outlineLevel="2">
      <c r="A184" s="411"/>
      <c r="B184" s="47" t="s">
        <v>183</v>
      </c>
      <c r="C184" s="215">
        <v>0</v>
      </c>
      <c r="D184" s="215">
        <v>415.30200000000002</v>
      </c>
      <c r="E184" s="215">
        <v>2470.5407999999998</v>
      </c>
      <c r="F184" s="215">
        <v>0</v>
      </c>
      <c r="G184" s="215">
        <v>0</v>
      </c>
      <c r="H184" s="215">
        <v>0</v>
      </c>
      <c r="I184" s="215"/>
      <c r="J184" s="11">
        <f t="shared" si="15"/>
        <v>2470.5407999999998</v>
      </c>
    </row>
    <row r="185" spans="1:14" ht="31.5" outlineLevel="2">
      <c r="A185" s="411"/>
      <c r="B185" s="47" t="s">
        <v>184</v>
      </c>
      <c r="C185" s="215">
        <v>0</v>
      </c>
      <c r="D185" s="215">
        <v>1133.268</v>
      </c>
      <c r="E185" s="215">
        <v>2130.4721985000001</v>
      </c>
      <c r="F185" s="215">
        <v>0</v>
      </c>
      <c r="G185" s="215">
        <v>0</v>
      </c>
      <c r="H185" s="215">
        <v>0</v>
      </c>
      <c r="I185" s="215"/>
      <c r="J185" s="11">
        <f t="shared" si="15"/>
        <v>2130.4721985000001</v>
      </c>
    </row>
    <row r="186" spans="1:14" ht="15.75" outlineLevel="1">
      <c r="A186" s="411"/>
      <c r="B186" s="216" t="s">
        <v>44</v>
      </c>
      <c r="C186" s="215">
        <v>10.44225</v>
      </c>
      <c r="D186" s="215">
        <v>1681.9938113999999</v>
      </c>
      <c r="E186" s="215">
        <f>SUM(E187:E190)</f>
        <v>3692.8362996000005</v>
      </c>
      <c r="F186" s="217">
        <f t="shared" si="17"/>
        <v>0</v>
      </c>
      <c r="G186" s="217">
        <f t="shared" si="17"/>
        <v>0</v>
      </c>
      <c r="H186" s="217">
        <f t="shared" si="17"/>
        <v>0</v>
      </c>
      <c r="I186" s="217"/>
      <c r="J186" s="11">
        <f t="shared" si="15"/>
        <v>3692.8362996000005</v>
      </c>
    </row>
    <row r="187" spans="1:14" ht="15.75" outlineLevel="2">
      <c r="A187" s="411"/>
      <c r="B187" s="47" t="s">
        <v>181</v>
      </c>
      <c r="C187" s="215">
        <v>0</v>
      </c>
      <c r="D187" s="215">
        <v>160.61426139999998</v>
      </c>
      <c r="E187" s="215">
        <v>199.7408101</v>
      </c>
      <c r="F187" s="215">
        <v>0</v>
      </c>
      <c r="G187" s="215">
        <v>0</v>
      </c>
      <c r="H187" s="215">
        <v>0</v>
      </c>
      <c r="I187" s="215"/>
      <c r="J187" s="11">
        <f t="shared" ref="J187:J190" si="18">SUM(D187:H187)</f>
        <v>360.35507150000001</v>
      </c>
    </row>
    <row r="188" spans="1:14" ht="15.75" outlineLevel="2">
      <c r="A188" s="411"/>
      <c r="B188" s="47" t="s">
        <v>182</v>
      </c>
      <c r="C188" s="215">
        <v>10.44225</v>
      </c>
      <c r="D188" s="215">
        <v>1171.4455500000001</v>
      </c>
      <c r="E188" s="215">
        <v>1099.2448459999998</v>
      </c>
      <c r="F188" s="215">
        <v>0</v>
      </c>
      <c r="G188" s="215">
        <v>0</v>
      </c>
      <c r="H188" s="215">
        <v>0</v>
      </c>
      <c r="I188" s="215"/>
      <c r="J188" s="11">
        <f t="shared" si="18"/>
        <v>2270.690396</v>
      </c>
    </row>
    <row r="189" spans="1:14" ht="31.5" outlineLevel="2">
      <c r="A189" s="411"/>
      <c r="B189" s="47" t="s">
        <v>183</v>
      </c>
      <c r="C189" s="215">
        <v>0</v>
      </c>
      <c r="D189" s="215">
        <v>134.11500000000001</v>
      </c>
      <c r="E189" s="215">
        <v>940.97640000000001</v>
      </c>
      <c r="F189" s="215">
        <v>0</v>
      </c>
      <c r="G189" s="215">
        <v>0</v>
      </c>
      <c r="H189" s="215">
        <v>0</v>
      </c>
      <c r="I189" s="215"/>
      <c r="J189" s="11">
        <f t="shared" si="18"/>
        <v>1075.0914</v>
      </c>
    </row>
    <row r="190" spans="1:14" ht="31.5" outlineLevel="2">
      <c r="A190" s="411"/>
      <c r="B190" s="47" t="s">
        <v>184</v>
      </c>
      <c r="C190" s="215">
        <v>0</v>
      </c>
      <c r="D190" s="215">
        <v>215.81899999999999</v>
      </c>
      <c r="E190" s="215">
        <v>1452.8742435000001</v>
      </c>
      <c r="F190" s="215">
        <v>0</v>
      </c>
      <c r="G190" s="215">
        <v>0</v>
      </c>
      <c r="H190" s="215">
        <v>0</v>
      </c>
      <c r="I190" s="215"/>
      <c r="J190" s="11">
        <f t="shared" si="18"/>
        <v>1668.6932435000001</v>
      </c>
    </row>
    <row r="191" spans="1:14" s="75" customFormat="1" ht="15.75" outlineLevel="1">
      <c r="A191" s="411"/>
      <c r="B191" s="209" t="s">
        <v>171</v>
      </c>
      <c r="C191" s="105">
        <f>SUM(C133,C138,C146,C151,C156,C161,C166,C171,C176,C181,C186)</f>
        <v>2036.7340999999999</v>
      </c>
      <c r="D191" s="105">
        <f t="shared" ref="D191:J191" si="19">SUM(D133,D138,D146,D151,D156,D161,D166,D171,D176,D181,D186)</f>
        <v>312200.71224659996</v>
      </c>
      <c r="E191" s="105">
        <f t="shared" si="19"/>
        <v>579401.57426929998</v>
      </c>
      <c r="F191" s="105">
        <f t="shared" si="19"/>
        <v>0</v>
      </c>
      <c r="G191" s="105">
        <f t="shared" si="19"/>
        <v>0</v>
      </c>
      <c r="H191" s="105">
        <f t="shared" si="19"/>
        <v>0</v>
      </c>
      <c r="I191" s="105">
        <f t="shared" si="19"/>
        <v>0</v>
      </c>
      <c r="J191" s="105">
        <f t="shared" si="19"/>
        <v>579401.57426929998</v>
      </c>
      <c r="M191" s="107"/>
      <c r="N191" s="107"/>
    </row>
  </sheetData>
  <mergeCells count="27">
    <mergeCell ref="A76:A116"/>
    <mergeCell ref="B76:J76"/>
    <mergeCell ref="B77:J77"/>
    <mergeCell ref="B97:J97"/>
    <mergeCell ref="A117:A191"/>
    <mergeCell ref="B117:J117"/>
    <mergeCell ref="B118:J118"/>
    <mergeCell ref="B132:J132"/>
    <mergeCell ref="A39:A42"/>
    <mergeCell ref="B39:J39"/>
    <mergeCell ref="B40:J40"/>
    <mergeCell ref="A43:A75"/>
    <mergeCell ref="B43:J43"/>
    <mergeCell ref="B44:J44"/>
    <mergeCell ref="B60:J60"/>
    <mergeCell ref="A31:A34"/>
    <mergeCell ref="B31:J31"/>
    <mergeCell ref="B32:J32"/>
    <mergeCell ref="A35:A38"/>
    <mergeCell ref="B35:J35"/>
    <mergeCell ref="B36:J36"/>
    <mergeCell ref="A5:J12"/>
    <mergeCell ref="A13:B13"/>
    <mergeCell ref="A14:A30"/>
    <mergeCell ref="B14:J14"/>
    <mergeCell ref="B15:J15"/>
    <mergeCell ref="B19:J19"/>
  </mergeCells>
  <pageMargins left="0.7" right="0.7" top="0.75" bottom="0.75" header="0.3" footer="0.3"/>
  <pageSetup paperSize="9" scale="24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T254"/>
  <sheetViews>
    <sheetView zoomScale="70" workbookViewId="0">
      <pane xSplit="1" ySplit="13" topLeftCell="B14" activePane="bottomRight" state="frozen"/>
      <selection activeCell="B14" sqref="B14"/>
      <selection pane="topRight"/>
      <selection pane="bottomLeft"/>
      <selection pane="bottomRight" activeCell="B14" sqref="B14:L14"/>
    </sheetView>
  </sheetViews>
  <sheetFormatPr defaultColWidth="11.42578125" defaultRowHeight="15.75" outlineLevelRow="2"/>
  <cols>
    <col min="1" max="1" width="4.7109375" customWidth="1"/>
    <col min="2" max="2" width="65" customWidth="1"/>
    <col min="3" max="4" width="18.140625" hidden="1" customWidth="1"/>
    <col min="5" max="5" width="18.140625" style="26" hidden="1" customWidth="1"/>
    <col min="6" max="6" width="18.7109375" style="26" hidden="1" customWidth="1"/>
    <col min="7" max="7" width="19.7109375" style="26" customWidth="1"/>
    <col min="8" max="8" width="19.42578125" style="26" customWidth="1"/>
    <col min="9" max="12" width="19.85546875" style="26" customWidth="1"/>
    <col min="13" max="13" width="25.42578125" hidden="1" customWidth="1"/>
    <col min="14" max="15" width="13.85546875" customWidth="1"/>
  </cols>
  <sheetData>
    <row r="1" spans="1:13" ht="18.75" customHeight="1">
      <c r="A1" s="27"/>
      <c r="B1" s="27"/>
      <c r="C1" s="27"/>
      <c r="D1" s="27"/>
      <c r="E1" s="27"/>
      <c r="F1" s="27"/>
      <c r="G1" s="27"/>
      <c r="H1" s="27"/>
      <c r="I1" s="27"/>
      <c r="J1" s="28" t="s">
        <v>46</v>
      </c>
      <c r="K1" s="29" t="s">
        <v>47</v>
      </c>
      <c r="L1" s="27"/>
    </row>
    <row r="2" spans="1:13" ht="15.75" customHeight="1">
      <c r="A2" s="27"/>
      <c r="B2" s="27"/>
      <c r="C2" s="27"/>
      <c r="D2" s="27"/>
      <c r="E2" s="27"/>
      <c r="F2" s="27"/>
      <c r="G2" s="27"/>
      <c r="H2" s="27"/>
      <c r="I2" s="27"/>
      <c r="J2" s="28"/>
      <c r="K2" s="28" t="s">
        <v>49</v>
      </c>
      <c r="L2" s="27"/>
    </row>
    <row r="3" spans="1:13" ht="15.75" customHeight="1">
      <c r="A3" s="27"/>
      <c r="B3" s="27"/>
      <c r="C3" s="27"/>
      <c r="D3" s="27"/>
      <c r="E3" s="27"/>
      <c r="F3" s="27"/>
      <c r="G3" s="27"/>
      <c r="H3" s="27"/>
      <c r="I3" s="27"/>
      <c r="J3" s="28"/>
      <c r="K3" s="28" t="s">
        <v>50</v>
      </c>
      <c r="L3" s="27"/>
    </row>
    <row r="4" spans="1:13" ht="15.75" customHeight="1">
      <c r="A4" s="27"/>
      <c r="B4" s="27"/>
      <c r="C4" s="27"/>
      <c r="D4" s="27"/>
      <c r="E4" s="27"/>
      <c r="F4" s="27"/>
      <c r="G4" s="27"/>
      <c r="H4" s="27"/>
      <c r="I4" s="27"/>
      <c r="J4" s="28"/>
      <c r="K4" s="28" t="s">
        <v>51</v>
      </c>
      <c r="L4" s="27"/>
    </row>
    <row r="5" spans="1:13" ht="15" customHeight="1">
      <c r="A5" s="364" t="s">
        <v>185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</row>
    <row r="6" spans="1:13" ht="15" customHeight="1">
      <c r="A6" s="365"/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</row>
    <row r="7" spans="1:13" ht="15" customHeight="1">
      <c r="A7" s="365"/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</row>
    <row r="8" spans="1:13" ht="15" customHeight="1">
      <c r="A8" s="365"/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</row>
    <row r="9" spans="1:13" ht="15" customHeight="1">
      <c r="A9" s="365"/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</row>
    <row r="10" spans="1:13" ht="15" customHeight="1">
      <c r="A10" s="365"/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</row>
    <row r="11" spans="1:13" ht="15" customHeight="1">
      <c r="A11" s="365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13" ht="15" customHeight="1">
      <c r="A12" s="366"/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</row>
    <row r="13" spans="1:13" ht="18.75">
      <c r="A13" s="367"/>
      <c r="B13" s="367"/>
      <c r="C13" s="38">
        <v>2020</v>
      </c>
      <c r="D13" s="38">
        <v>2021</v>
      </c>
      <c r="E13" s="38">
        <v>2022</v>
      </c>
      <c r="F13" s="38">
        <v>2023</v>
      </c>
      <c r="G13" s="37">
        <v>2024</v>
      </c>
      <c r="H13" s="38">
        <v>2025</v>
      </c>
      <c r="I13" s="38">
        <v>2026</v>
      </c>
      <c r="J13" s="38">
        <v>2027</v>
      </c>
      <c r="K13" s="38">
        <v>2028</v>
      </c>
      <c r="L13" s="38" t="s">
        <v>0</v>
      </c>
      <c r="M13" t="s">
        <v>186</v>
      </c>
    </row>
    <row r="14" spans="1:13" ht="36" customHeight="1">
      <c r="A14" s="368" t="s">
        <v>67</v>
      </c>
      <c r="B14" s="414" t="s">
        <v>187</v>
      </c>
      <c r="C14" s="414"/>
      <c r="D14" s="414"/>
      <c r="E14" s="415"/>
      <c r="F14" s="415"/>
      <c r="G14" s="415"/>
      <c r="H14" s="415"/>
      <c r="I14" s="415"/>
      <c r="J14" s="415"/>
      <c r="K14" s="415"/>
      <c r="L14" s="415"/>
    </row>
    <row r="15" spans="1:13" outlineLevel="1">
      <c r="A15" s="368"/>
      <c r="B15" s="47" t="s">
        <v>108</v>
      </c>
      <c r="C15" s="54"/>
      <c r="D15" s="54"/>
      <c r="E15" s="54"/>
      <c r="F15" s="222"/>
      <c r="G15" s="222"/>
      <c r="H15" s="222"/>
      <c r="I15" s="222"/>
      <c r="J15" s="222"/>
      <c r="K15" s="222"/>
      <c r="L15" s="11">
        <f t="shared" ref="L15:L25" si="0">SUM(G15:K15)</f>
        <v>0</v>
      </c>
    </row>
    <row r="16" spans="1:13" outlineLevel="1">
      <c r="A16" s="368"/>
      <c r="B16" s="47" t="s">
        <v>4</v>
      </c>
      <c r="C16" s="54">
        <v>305.76</v>
      </c>
      <c r="D16" s="54">
        <f>366930/1000</f>
        <v>366.93</v>
      </c>
      <c r="E16" s="54">
        <v>373.49099999999999</v>
      </c>
      <c r="F16" s="222">
        <v>0</v>
      </c>
      <c r="G16" s="222">
        <v>0</v>
      </c>
      <c r="H16" s="222">
        <v>0</v>
      </c>
      <c r="I16" s="222">
        <v>0</v>
      </c>
      <c r="J16" s="222">
        <v>0</v>
      </c>
      <c r="K16" s="222"/>
      <c r="L16" s="11">
        <f t="shared" si="0"/>
        <v>0</v>
      </c>
    </row>
    <row r="17" spans="1:13" outlineLevel="1">
      <c r="A17" s="368"/>
      <c r="B17" s="47" t="s">
        <v>5</v>
      </c>
      <c r="C17" s="54">
        <v>85.176000000000002</v>
      </c>
      <c r="D17" s="54">
        <f>101925/1000</f>
        <v>101.925</v>
      </c>
      <c r="E17" s="54">
        <v>105.705</v>
      </c>
      <c r="F17" s="222">
        <v>0</v>
      </c>
      <c r="G17" s="222">
        <v>0</v>
      </c>
      <c r="H17" s="222">
        <v>0</v>
      </c>
      <c r="I17" s="222">
        <v>0</v>
      </c>
      <c r="J17" s="222">
        <v>0</v>
      </c>
      <c r="K17" s="222"/>
      <c r="L17" s="11">
        <f t="shared" si="0"/>
        <v>0</v>
      </c>
    </row>
    <row r="18" spans="1:13" outlineLevel="1">
      <c r="A18" s="368"/>
      <c r="B18" s="47" t="s">
        <v>7</v>
      </c>
      <c r="C18" s="54">
        <v>37.128</v>
      </c>
      <c r="D18" s="54">
        <f>45300/1000</f>
        <v>45.3</v>
      </c>
      <c r="E18" s="54">
        <v>46.98</v>
      </c>
      <c r="F18" s="222">
        <v>0</v>
      </c>
      <c r="G18" s="222">
        <v>0</v>
      </c>
      <c r="H18" s="222">
        <v>0</v>
      </c>
      <c r="I18" s="222">
        <v>0</v>
      </c>
      <c r="J18" s="222">
        <v>0</v>
      </c>
      <c r="K18" s="222"/>
      <c r="L18" s="11">
        <f t="shared" si="0"/>
        <v>0</v>
      </c>
    </row>
    <row r="19" spans="1:13" outlineLevel="1">
      <c r="A19" s="368"/>
      <c r="B19" s="47" t="s">
        <v>8</v>
      </c>
      <c r="C19" s="54">
        <v>58.968000000000004</v>
      </c>
      <c r="D19" s="54">
        <f>74745/1000</f>
        <v>74.745000000000005</v>
      </c>
      <c r="E19" s="54">
        <v>77.516999999999996</v>
      </c>
      <c r="F19" s="222">
        <v>0</v>
      </c>
      <c r="G19" s="222">
        <v>0</v>
      </c>
      <c r="H19" s="222">
        <v>0</v>
      </c>
      <c r="I19" s="222">
        <v>0</v>
      </c>
      <c r="J19" s="222">
        <v>0</v>
      </c>
      <c r="K19" s="222"/>
      <c r="L19" s="11">
        <f t="shared" si="0"/>
        <v>0</v>
      </c>
    </row>
    <row r="20" spans="1:13" outlineLevel="1">
      <c r="A20" s="368"/>
      <c r="B20" s="47" t="s">
        <v>9</v>
      </c>
      <c r="C20" s="54">
        <v>69.888000000000005</v>
      </c>
      <c r="D20" s="54">
        <f>83805/1000</f>
        <v>83.805000000000007</v>
      </c>
      <c r="E20" s="54">
        <v>86.912999999999997</v>
      </c>
      <c r="F20" s="222">
        <v>0</v>
      </c>
      <c r="G20" s="222">
        <v>0</v>
      </c>
      <c r="H20" s="222">
        <v>0</v>
      </c>
      <c r="I20" s="222">
        <v>0</v>
      </c>
      <c r="J20" s="222">
        <v>0</v>
      </c>
      <c r="K20" s="222"/>
      <c r="L20" s="11">
        <f t="shared" si="0"/>
        <v>0</v>
      </c>
    </row>
    <row r="21" spans="1:13" outlineLevel="1">
      <c r="A21" s="368"/>
      <c r="B21" s="47" t="s">
        <v>10</v>
      </c>
      <c r="C21" s="54">
        <v>74.256</v>
      </c>
      <c r="D21" s="54">
        <f>90600/1000</f>
        <v>90.6</v>
      </c>
      <c r="E21" s="54">
        <v>93.96</v>
      </c>
      <c r="F21" s="222">
        <v>0</v>
      </c>
      <c r="G21" s="222">
        <v>0</v>
      </c>
      <c r="H21" s="222">
        <v>0</v>
      </c>
      <c r="I21" s="222">
        <v>0</v>
      </c>
      <c r="J21" s="222">
        <v>0</v>
      </c>
      <c r="K21" s="222"/>
      <c r="L21" s="11">
        <f t="shared" si="0"/>
        <v>0</v>
      </c>
    </row>
    <row r="22" spans="1:13" outlineLevel="1">
      <c r="A22" s="368"/>
      <c r="B22" s="47" t="s">
        <v>11</v>
      </c>
      <c r="C22" s="54">
        <v>102.648</v>
      </c>
      <c r="D22" s="54">
        <v>133.63499999999999</v>
      </c>
      <c r="E22" s="54">
        <v>136.24199999999999</v>
      </c>
      <c r="F22" s="222">
        <v>0</v>
      </c>
      <c r="G22" s="222">
        <v>0</v>
      </c>
      <c r="H22" s="222">
        <v>0</v>
      </c>
      <c r="I22" s="222">
        <v>0</v>
      </c>
      <c r="J22" s="222">
        <v>0</v>
      </c>
      <c r="K22" s="222"/>
      <c r="L22" s="11">
        <f t="shared" si="0"/>
        <v>0</v>
      </c>
    </row>
    <row r="23" spans="1:13" outlineLevel="1">
      <c r="A23" s="368"/>
      <c r="B23" s="47" t="s">
        <v>12</v>
      </c>
      <c r="C23" s="54">
        <v>172.536</v>
      </c>
      <c r="D23" s="54">
        <v>206.11500000000001</v>
      </c>
      <c r="E23" s="54">
        <v>211.41</v>
      </c>
      <c r="F23" s="222">
        <v>0</v>
      </c>
      <c r="G23" s="222">
        <v>0</v>
      </c>
      <c r="H23" s="222">
        <v>0</v>
      </c>
      <c r="I23" s="222">
        <v>0</v>
      </c>
      <c r="J23" s="222">
        <v>0</v>
      </c>
      <c r="K23" s="222"/>
      <c r="L23" s="11">
        <f t="shared" si="0"/>
        <v>0</v>
      </c>
    </row>
    <row r="24" spans="1:13" outlineLevel="1">
      <c r="A24" s="368"/>
      <c r="B24" s="47" t="s">
        <v>13</v>
      </c>
      <c r="C24" s="54">
        <v>244.608</v>
      </c>
      <c r="D24" s="54">
        <v>317.10000000000002</v>
      </c>
      <c r="E24" s="54">
        <v>324.16199999999998</v>
      </c>
      <c r="F24" s="222">
        <v>0</v>
      </c>
      <c r="G24" s="222">
        <v>0</v>
      </c>
      <c r="H24" s="222">
        <v>0</v>
      </c>
      <c r="I24" s="222">
        <v>0</v>
      </c>
      <c r="J24" s="222">
        <v>0</v>
      </c>
      <c r="K24" s="222"/>
      <c r="L24" s="11">
        <f t="shared" si="0"/>
        <v>0</v>
      </c>
    </row>
    <row r="25" spans="1:13" outlineLevel="1">
      <c r="A25" s="368"/>
      <c r="B25" s="47" t="s">
        <v>14</v>
      </c>
      <c r="C25" s="54">
        <v>163.80000000000001</v>
      </c>
      <c r="D25" s="54">
        <v>181.2</v>
      </c>
      <c r="E25" s="54">
        <v>185.571</v>
      </c>
      <c r="F25" s="222">
        <v>0</v>
      </c>
      <c r="G25" s="222">
        <v>0</v>
      </c>
      <c r="H25" s="222">
        <v>0</v>
      </c>
      <c r="I25" s="222">
        <v>0</v>
      </c>
      <c r="J25" s="222">
        <v>0</v>
      </c>
      <c r="K25" s="222"/>
      <c r="L25" s="11">
        <f t="shared" si="0"/>
        <v>0</v>
      </c>
    </row>
    <row r="26" spans="1:13" outlineLevel="1">
      <c r="A26" s="368"/>
      <c r="B26" s="57" t="s">
        <v>18</v>
      </c>
      <c r="C26" s="11">
        <f t="shared" ref="C26:D26" si="1">SUM(C16:C25)</f>
        <v>1314.7679999999998</v>
      </c>
      <c r="D26" s="11">
        <f t="shared" si="1"/>
        <v>1601.3549999999998</v>
      </c>
      <c r="E26" s="11">
        <f>SUM(E15:E25)</f>
        <v>1641.951</v>
      </c>
      <c r="F26" s="11">
        <f t="shared" ref="F26:L26" si="2">SUM(F15:F25)</f>
        <v>0</v>
      </c>
      <c r="G26" s="11">
        <f t="shared" si="2"/>
        <v>0</v>
      </c>
      <c r="H26" s="11">
        <f t="shared" si="2"/>
        <v>0</v>
      </c>
      <c r="I26" s="11">
        <f t="shared" si="2"/>
        <v>0</v>
      </c>
      <c r="J26" s="11">
        <f t="shared" si="2"/>
        <v>0</v>
      </c>
      <c r="K26" s="11">
        <f t="shared" si="2"/>
        <v>0</v>
      </c>
      <c r="L26" s="11">
        <f t="shared" si="2"/>
        <v>0</v>
      </c>
      <c r="M26" s="12"/>
    </row>
    <row r="27" spans="1:13" ht="39" customHeight="1">
      <c r="A27" s="372" t="s">
        <v>3</v>
      </c>
      <c r="B27" s="414" t="s">
        <v>188</v>
      </c>
      <c r="C27" s="414"/>
      <c r="D27" s="414"/>
      <c r="E27" s="415"/>
      <c r="F27" s="415"/>
      <c r="G27" s="415"/>
      <c r="H27" s="415"/>
      <c r="I27" s="415"/>
      <c r="J27" s="415"/>
      <c r="K27" s="415"/>
      <c r="L27" s="415"/>
    </row>
    <row r="28" spans="1:13" outlineLevel="1">
      <c r="A28" s="372"/>
      <c r="B28" s="68" t="s">
        <v>108</v>
      </c>
      <c r="C28" s="68"/>
      <c r="D28" s="68"/>
      <c r="E28" s="54">
        <v>0</v>
      </c>
      <c r="F28" s="44">
        <v>35674.697999999997</v>
      </c>
      <c r="G28" s="44">
        <v>38885.665000000001</v>
      </c>
      <c r="H28" s="44">
        <v>41217.584000000003</v>
      </c>
      <c r="I28" s="44">
        <v>44098.908000000003</v>
      </c>
      <c r="J28" s="44">
        <v>47187.785000000003</v>
      </c>
      <c r="K28" s="44"/>
      <c r="L28" s="11">
        <f t="shared" ref="L28:L39" si="3">SUM(G28:K28)</f>
        <v>171389.94200000001</v>
      </c>
    </row>
    <row r="29" spans="1:13" outlineLevel="1">
      <c r="A29" s="372"/>
      <c r="B29" s="68" t="s">
        <v>4</v>
      </c>
      <c r="C29" s="68">
        <v>12879.048000000001</v>
      </c>
      <c r="D29" s="68">
        <v>13098</v>
      </c>
      <c r="E29" s="54">
        <v>6661.7640000000001</v>
      </c>
      <c r="F29" s="54"/>
      <c r="G29" s="54"/>
      <c r="H29" s="54"/>
      <c r="I29" s="54"/>
      <c r="J29" s="54"/>
      <c r="K29" s="54"/>
      <c r="L29" s="11">
        <f t="shared" si="3"/>
        <v>0</v>
      </c>
    </row>
    <row r="30" spans="1:13" outlineLevel="1">
      <c r="A30" s="372"/>
      <c r="B30" s="68" t="s">
        <v>5</v>
      </c>
      <c r="C30" s="68">
        <v>10138.128000000001</v>
      </c>
      <c r="D30" s="68">
        <v>5159.67</v>
      </c>
      <c r="E30" s="54">
        <v>5247.6660000000002</v>
      </c>
      <c r="F30" s="54"/>
      <c r="G30" s="54"/>
      <c r="H30" s="54"/>
      <c r="I30" s="54"/>
      <c r="J30" s="54"/>
      <c r="K30" s="54"/>
      <c r="L30" s="11">
        <f t="shared" si="3"/>
        <v>0</v>
      </c>
    </row>
    <row r="31" spans="1:13" outlineLevel="1">
      <c r="A31" s="372"/>
      <c r="B31" s="68" t="s">
        <v>7</v>
      </c>
      <c r="C31" s="68">
        <v>2622.9839999999999</v>
      </c>
      <c r="D31" s="68">
        <v>1334.085</v>
      </c>
      <c r="E31" s="54">
        <v>1357.722</v>
      </c>
      <c r="F31" s="54"/>
      <c r="G31" s="54"/>
      <c r="H31" s="54"/>
      <c r="I31" s="54"/>
      <c r="J31" s="54"/>
      <c r="K31" s="54"/>
      <c r="L31" s="11">
        <f t="shared" si="3"/>
        <v>0</v>
      </c>
    </row>
    <row r="32" spans="1:13" outlineLevel="1">
      <c r="A32" s="372"/>
      <c r="B32" s="68" t="s">
        <v>8</v>
      </c>
      <c r="C32" s="68">
        <v>2981.16</v>
      </c>
      <c r="D32" s="68">
        <v>1900.335</v>
      </c>
      <c r="E32" s="54">
        <v>1547.991</v>
      </c>
      <c r="F32" s="54"/>
      <c r="G32" s="54"/>
      <c r="H32" s="54"/>
      <c r="I32" s="54"/>
      <c r="J32" s="54"/>
      <c r="K32" s="54"/>
      <c r="L32" s="11">
        <f t="shared" si="3"/>
        <v>0</v>
      </c>
    </row>
    <row r="33" spans="1:20" outlineLevel="1">
      <c r="A33" s="372"/>
      <c r="B33" s="68" t="s">
        <v>9</v>
      </c>
      <c r="C33" s="68">
        <v>4514.3280000000004</v>
      </c>
      <c r="D33" s="68">
        <v>2872.02</v>
      </c>
      <c r="E33" s="54">
        <v>2339.6039999999998</v>
      </c>
      <c r="F33" s="54"/>
      <c r="G33" s="54"/>
      <c r="H33" s="54"/>
      <c r="I33" s="54"/>
      <c r="J33" s="54"/>
      <c r="K33" s="54"/>
      <c r="L33" s="11">
        <f t="shared" si="3"/>
        <v>0</v>
      </c>
    </row>
    <row r="34" spans="1:20" outlineLevel="1">
      <c r="A34" s="372"/>
      <c r="B34" s="68" t="s">
        <v>10</v>
      </c>
      <c r="C34" s="68">
        <v>4258.8</v>
      </c>
      <c r="D34" s="68">
        <v>2167.605</v>
      </c>
      <c r="E34" s="54">
        <v>2205.7109999999998</v>
      </c>
      <c r="F34" s="54"/>
      <c r="G34" s="54"/>
      <c r="H34" s="54"/>
      <c r="I34" s="54"/>
      <c r="J34" s="54"/>
      <c r="K34" s="54"/>
      <c r="L34" s="11">
        <f t="shared" si="3"/>
        <v>0</v>
      </c>
    </row>
    <row r="35" spans="1:20" outlineLevel="1">
      <c r="A35" s="372"/>
      <c r="B35" s="68" t="s">
        <v>11</v>
      </c>
      <c r="C35" s="68">
        <v>3769.5839999999998</v>
      </c>
      <c r="D35" s="68">
        <v>1918.4549999999999</v>
      </c>
      <c r="E35" s="54">
        <v>1952.019</v>
      </c>
      <c r="F35" s="54"/>
      <c r="G35" s="54"/>
      <c r="H35" s="54"/>
      <c r="I35" s="54"/>
      <c r="J35" s="54"/>
      <c r="K35" s="54"/>
      <c r="L35" s="11">
        <f t="shared" si="3"/>
        <v>0</v>
      </c>
    </row>
    <row r="36" spans="1:20" outlineLevel="1">
      <c r="A36" s="372"/>
      <c r="B36" s="68" t="s">
        <v>12</v>
      </c>
      <c r="C36" s="68">
        <v>15711.696</v>
      </c>
      <c r="D36" s="68">
        <v>7981.86</v>
      </c>
      <c r="E36" s="54">
        <v>8118.1440000000002</v>
      </c>
      <c r="F36" s="54"/>
      <c r="G36" s="54"/>
      <c r="H36" s="54"/>
      <c r="I36" s="54"/>
      <c r="J36" s="54"/>
      <c r="K36" s="54"/>
      <c r="L36" s="11">
        <f t="shared" si="3"/>
        <v>0</v>
      </c>
      <c r="S36" s="223"/>
    </row>
    <row r="37" spans="1:20" outlineLevel="1">
      <c r="A37" s="372"/>
      <c r="B37" s="68" t="s">
        <v>13</v>
      </c>
      <c r="C37" s="68">
        <v>21051.576000000001</v>
      </c>
      <c r="D37" s="68">
        <v>10706.655000000001</v>
      </c>
      <c r="E37" s="54">
        <v>10889.964</v>
      </c>
      <c r="F37" s="54"/>
      <c r="G37" s="54"/>
      <c r="H37" s="54"/>
      <c r="I37" s="54"/>
      <c r="J37" s="54"/>
      <c r="K37" s="54"/>
      <c r="L37" s="11">
        <f t="shared" si="3"/>
        <v>0</v>
      </c>
      <c r="S37" s="223"/>
      <c r="T37" s="223"/>
    </row>
    <row r="38" spans="1:20" outlineLevel="1">
      <c r="A38" s="372"/>
      <c r="B38" s="68" t="s">
        <v>14</v>
      </c>
      <c r="C38" s="68">
        <v>7314.2160000000003</v>
      </c>
      <c r="D38" s="68">
        <v>3719.13</v>
      </c>
      <c r="E38" s="54">
        <v>3784.239</v>
      </c>
      <c r="F38" s="54"/>
      <c r="G38" s="54"/>
      <c r="H38" s="54"/>
      <c r="I38" s="54"/>
      <c r="J38" s="54"/>
      <c r="K38" s="54"/>
      <c r="L38" s="11">
        <f t="shared" si="3"/>
        <v>0</v>
      </c>
    </row>
    <row r="39" spans="1:20" outlineLevel="1">
      <c r="A39" s="372"/>
      <c r="B39" s="68" t="s">
        <v>112</v>
      </c>
      <c r="C39" s="68">
        <v>0</v>
      </c>
      <c r="D39" s="68">
        <v>40237.724999999999</v>
      </c>
      <c r="E39" s="54">
        <v>64453.587</v>
      </c>
      <c r="F39" s="54"/>
      <c r="G39" s="54"/>
      <c r="H39" s="54"/>
      <c r="I39" s="54"/>
      <c r="J39" s="54"/>
      <c r="K39" s="54"/>
      <c r="L39" s="11">
        <f t="shared" si="3"/>
        <v>0</v>
      </c>
      <c r="P39" s="224"/>
      <c r="Q39" s="224"/>
      <c r="R39" s="224"/>
      <c r="T39" s="223"/>
    </row>
    <row r="40" spans="1:20" outlineLevel="1">
      <c r="A40" s="372"/>
      <c r="B40" s="10" t="s">
        <v>18</v>
      </c>
      <c r="C40" s="11">
        <f t="shared" ref="C40:D40" si="4">SUM(C29:C39)</f>
        <v>85241.52</v>
      </c>
      <c r="D40" s="11">
        <f t="shared" si="4"/>
        <v>91095.54</v>
      </c>
      <c r="E40" s="11">
        <f>SUM(E28:E39)</f>
        <v>108558.41099999999</v>
      </c>
      <c r="F40" s="11">
        <f t="shared" ref="F40:L40" si="5">SUM(F28:F39)</f>
        <v>35674.697999999997</v>
      </c>
      <c r="G40" s="11">
        <f t="shared" si="5"/>
        <v>38885.665000000001</v>
      </c>
      <c r="H40" s="11">
        <f t="shared" si="5"/>
        <v>41217.584000000003</v>
      </c>
      <c r="I40" s="11">
        <f t="shared" si="5"/>
        <v>44098.908000000003</v>
      </c>
      <c r="J40" s="11">
        <f t="shared" si="5"/>
        <v>47187.785000000003</v>
      </c>
      <c r="K40" s="11">
        <f t="shared" si="5"/>
        <v>0</v>
      </c>
      <c r="L40" s="11">
        <f t="shared" si="5"/>
        <v>171389.94200000001</v>
      </c>
      <c r="M40" s="12"/>
      <c r="T40" s="223"/>
    </row>
    <row r="41" spans="1:20" s="225" customFormat="1" ht="22.5" customHeight="1">
      <c r="A41" s="62">
        <v>3</v>
      </c>
      <c r="B41" s="414" t="s">
        <v>189</v>
      </c>
      <c r="C41" s="414"/>
      <c r="D41" s="414"/>
      <c r="E41" s="415"/>
      <c r="F41" s="415"/>
      <c r="G41" s="415"/>
      <c r="H41" s="415"/>
      <c r="I41" s="415"/>
      <c r="J41" s="415"/>
      <c r="K41" s="415"/>
      <c r="L41" s="415"/>
    </row>
    <row r="42" spans="1:20" s="226" customFormat="1" outlineLevel="1">
      <c r="A42" s="62"/>
      <c r="B42" s="227" t="s">
        <v>4</v>
      </c>
      <c r="C42" s="227"/>
      <c r="D42" s="228">
        <v>34197</v>
      </c>
      <c r="E42" s="228">
        <f>20675166.46/1000</f>
        <v>20675.16646</v>
      </c>
      <c r="F42" s="229"/>
      <c r="G42" s="230"/>
      <c r="H42" s="230"/>
      <c r="I42" s="230"/>
      <c r="J42" s="230"/>
      <c r="K42" s="230"/>
      <c r="L42" s="11">
        <f t="shared" ref="L42:L53" si="6">SUM(G42:K42)</f>
        <v>0</v>
      </c>
    </row>
    <row r="43" spans="1:20" s="225" customFormat="1" ht="18.75" outlineLevel="1">
      <c r="A43" s="416" t="s">
        <v>3</v>
      </c>
      <c r="B43" s="417" t="s">
        <v>190</v>
      </c>
      <c r="C43" s="417"/>
      <c r="D43" s="417"/>
      <c r="E43" s="418"/>
      <c r="F43" s="418"/>
      <c r="G43" s="418"/>
      <c r="H43" s="418"/>
      <c r="I43" s="418"/>
      <c r="J43" s="418"/>
      <c r="K43" s="418"/>
      <c r="L43" s="418"/>
    </row>
    <row r="44" spans="1:20" s="225" customFormat="1" outlineLevel="1">
      <c r="A44" s="416"/>
      <c r="B44" s="227" t="s">
        <v>108</v>
      </c>
      <c r="C44" s="227"/>
      <c r="D44" s="228"/>
      <c r="E44" s="228"/>
      <c r="F44" s="54">
        <v>33784.699271999998</v>
      </c>
      <c r="G44" s="54">
        <v>34359.039159623993</v>
      </c>
      <c r="H44" s="54">
        <v>34943.1428253376</v>
      </c>
      <c r="I44" s="54">
        <v>35572.119396193681</v>
      </c>
      <c r="J44" s="54">
        <v>36212.417545325166</v>
      </c>
      <c r="K44" s="54"/>
      <c r="L44" s="11">
        <f t="shared" si="6"/>
        <v>141086.71892648045</v>
      </c>
    </row>
    <row r="45" spans="1:20" s="226" customFormat="1" outlineLevel="1">
      <c r="A45" s="416"/>
      <c r="B45" s="227" t="s">
        <v>5</v>
      </c>
      <c r="C45" s="227"/>
      <c r="D45" s="228">
        <v>3707</v>
      </c>
      <c r="E45" s="228">
        <f>4684249.8/1000</f>
        <v>4684.2497999999996</v>
      </c>
      <c r="F45" s="230"/>
      <c r="G45" s="230"/>
      <c r="H45" s="230"/>
      <c r="I45" s="230"/>
      <c r="J45" s="230"/>
      <c r="K45" s="230"/>
      <c r="L45" s="11">
        <f t="shared" si="6"/>
        <v>0</v>
      </c>
    </row>
    <row r="46" spans="1:20" s="226" customFormat="1" outlineLevel="1">
      <c r="A46" s="416"/>
      <c r="B46" s="227" t="s">
        <v>7</v>
      </c>
      <c r="C46" s="227"/>
      <c r="D46" s="228">
        <v>808</v>
      </c>
      <c r="E46" s="228">
        <f>1063852.8/1000</f>
        <v>1063.8528000000001</v>
      </c>
      <c r="F46" s="230"/>
      <c r="G46" s="230"/>
      <c r="H46" s="230"/>
      <c r="I46" s="230"/>
      <c r="J46" s="230"/>
      <c r="K46" s="230"/>
      <c r="L46" s="11">
        <f t="shared" si="6"/>
        <v>0</v>
      </c>
    </row>
    <row r="47" spans="1:20" s="226" customFormat="1" outlineLevel="1">
      <c r="A47" s="416"/>
      <c r="B47" s="227" t="s">
        <v>8</v>
      </c>
      <c r="C47" s="227"/>
      <c r="D47" s="228">
        <v>1559</v>
      </c>
      <c r="E47" s="228">
        <f>1982022.6/1000</f>
        <v>1982.0226</v>
      </c>
      <c r="F47" s="230"/>
      <c r="G47" s="230"/>
      <c r="H47" s="230"/>
      <c r="I47" s="230"/>
      <c r="J47" s="230"/>
      <c r="K47" s="230"/>
      <c r="L47" s="11">
        <f t="shared" si="6"/>
        <v>0</v>
      </c>
    </row>
    <row r="48" spans="1:20" s="226" customFormat="1" outlineLevel="1">
      <c r="A48" s="416"/>
      <c r="B48" s="227" t="s">
        <v>9</v>
      </c>
      <c r="C48" s="227"/>
      <c r="D48" s="228">
        <f>1247+1845</f>
        <v>3092</v>
      </c>
      <c r="E48" s="228">
        <f>3665283/1000</f>
        <v>3665.2829999999999</v>
      </c>
      <c r="F48" s="231"/>
      <c r="G48" s="230"/>
      <c r="H48" s="230"/>
      <c r="I48" s="230"/>
      <c r="J48" s="230"/>
      <c r="K48" s="230"/>
      <c r="L48" s="11">
        <f t="shared" si="6"/>
        <v>0</v>
      </c>
    </row>
    <row r="49" spans="1:18" s="226" customFormat="1" outlineLevel="1">
      <c r="A49" s="416"/>
      <c r="B49" s="227" t="s">
        <v>10</v>
      </c>
      <c r="C49" s="227"/>
      <c r="D49" s="228">
        <v>2224</v>
      </c>
      <c r="E49" s="228">
        <f>2860359/1000</f>
        <v>2860.3589999999999</v>
      </c>
      <c r="F49" s="230"/>
      <c r="G49" s="230"/>
      <c r="H49" s="230"/>
      <c r="I49" s="230"/>
      <c r="J49" s="230"/>
      <c r="K49" s="230"/>
      <c r="L49" s="11">
        <f t="shared" si="6"/>
        <v>0</v>
      </c>
    </row>
    <row r="50" spans="1:18" s="226" customFormat="1" outlineLevel="1">
      <c r="A50" s="416"/>
      <c r="B50" s="227" t="s">
        <v>11</v>
      </c>
      <c r="C50" s="227"/>
      <c r="D50" s="228">
        <v>2010</v>
      </c>
      <c r="E50" s="228">
        <f>2723031/1000</f>
        <v>2723.0309999999999</v>
      </c>
      <c r="F50" s="230"/>
      <c r="G50" s="230"/>
      <c r="H50" s="230"/>
      <c r="I50" s="230"/>
      <c r="J50" s="230"/>
      <c r="K50" s="230"/>
      <c r="L50" s="11">
        <f t="shared" si="6"/>
        <v>0</v>
      </c>
    </row>
    <row r="51" spans="1:18" s="226" customFormat="1" outlineLevel="1">
      <c r="A51" s="416"/>
      <c r="B51" s="227" t="s">
        <v>12</v>
      </c>
      <c r="C51" s="227"/>
      <c r="D51" s="228">
        <v>3574</v>
      </c>
      <c r="E51" s="228">
        <f>4505692.2/1000</f>
        <v>4505.6922000000004</v>
      </c>
      <c r="F51" s="230"/>
      <c r="G51" s="230"/>
      <c r="H51" s="230"/>
      <c r="I51" s="230"/>
      <c r="J51" s="230"/>
      <c r="K51" s="230"/>
      <c r="L51" s="11">
        <f t="shared" si="6"/>
        <v>0</v>
      </c>
    </row>
    <row r="52" spans="1:18" s="225" customFormat="1" outlineLevel="1">
      <c r="A52" s="416"/>
      <c r="B52" s="227" t="s">
        <v>13</v>
      </c>
      <c r="C52" s="227"/>
      <c r="D52" s="228">
        <v>11816</v>
      </c>
      <c r="E52" s="228">
        <f>14015962.8/1000</f>
        <v>14015.962800000001</v>
      </c>
      <c r="F52" s="230"/>
      <c r="G52" s="230"/>
      <c r="H52" s="230"/>
      <c r="I52" s="230"/>
      <c r="J52" s="230"/>
      <c r="K52" s="230"/>
      <c r="L52" s="11">
        <f t="shared" si="6"/>
        <v>0</v>
      </c>
    </row>
    <row r="53" spans="1:18" s="226" customFormat="1" outlineLevel="1">
      <c r="A53" s="416"/>
      <c r="B53" s="227" t="s">
        <v>14</v>
      </c>
      <c r="C53" s="227"/>
      <c r="D53" s="228">
        <f>1654+2543</f>
        <v>4197</v>
      </c>
      <c r="E53" s="228">
        <f>4817040.8/1000</f>
        <v>4817.0407999999998</v>
      </c>
      <c r="F53" s="230"/>
      <c r="G53" s="230"/>
      <c r="H53" s="230"/>
      <c r="I53" s="230"/>
      <c r="J53" s="230"/>
      <c r="K53" s="230"/>
      <c r="L53" s="11">
        <f t="shared" si="6"/>
        <v>0</v>
      </c>
    </row>
    <row r="54" spans="1:18" s="225" customFormat="1" ht="15" customHeight="1" outlineLevel="1">
      <c r="A54" s="416"/>
      <c r="B54" s="232" t="s">
        <v>18</v>
      </c>
      <c r="C54" s="233"/>
      <c r="D54" s="234">
        <f t="shared" ref="D54:D73" si="7">SUM(D45:D53)</f>
        <v>32987</v>
      </c>
      <c r="E54" s="234">
        <f>SUM(E44:E53)</f>
        <v>40317.494000000006</v>
      </c>
      <c r="F54" s="234">
        <f t="shared" ref="F54:K54" si="8">SUM(F44:F53)</f>
        <v>33784.699271999998</v>
      </c>
      <c r="G54" s="234">
        <f t="shared" si="8"/>
        <v>34359.039159623993</v>
      </c>
      <c r="H54" s="234">
        <f t="shared" si="8"/>
        <v>34943.1428253376</v>
      </c>
      <c r="I54" s="234">
        <f t="shared" si="8"/>
        <v>35572.119396193681</v>
      </c>
      <c r="J54" s="234">
        <f t="shared" si="8"/>
        <v>36212.417545325166</v>
      </c>
      <c r="K54" s="234">
        <f t="shared" si="8"/>
        <v>0</v>
      </c>
      <c r="L54" s="234">
        <f>SUM(L44:L53)</f>
        <v>141086.71892648045</v>
      </c>
    </row>
    <row r="55" spans="1:18" ht="24" customHeight="1">
      <c r="A55" s="372">
        <v>4</v>
      </c>
      <c r="B55" s="414" t="s">
        <v>191</v>
      </c>
      <c r="C55" s="414"/>
      <c r="D55" s="414"/>
      <c r="E55" s="415"/>
      <c r="F55" s="415"/>
      <c r="G55" s="415"/>
      <c r="H55" s="415"/>
      <c r="I55" s="415"/>
      <c r="J55" s="415"/>
      <c r="K55" s="415"/>
      <c r="L55" s="415"/>
      <c r="M55" s="235"/>
      <c r="N55" s="235"/>
    </row>
    <row r="56" spans="1:18" outlineLevel="1">
      <c r="A56" s="372"/>
      <c r="B56" s="95" t="s">
        <v>21</v>
      </c>
      <c r="C56" s="95">
        <f>2890.4+577.049</f>
        <v>3467.4490000000001</v>
      </c>
      <c r="D56" s="95">
        <v>1374.912</v>
      </c>
      <c r="E56" s="54">
        <v>3553.92</v>
      </c>
      <c r="F56" s="54">
        <f t="shared" ref="F56:F73" si="9">M56*2922/1000</f>
        <v>4207.68</v>
      </c>
      <c r="G56" s="54"/>
      <c r="H56" s="54"/>
      <c r="I56" s="54"/>
      <c r="J56" s="54"/>
      <c r="K56" s="54"/>
      <c r="L56" s="11">
        <f t="shared" ref="L56:L73" si="10">SUM(G56:K56)</f>
        <v>0</v>
      </c>
      <c r="M56" s="12">
        <f t="shared" ref="M56:M73" si="11">E56*1000/2468</f>
        <v>1440</v>
      </c>
      <c r="N56" s="12"/>
    </row>
    <row r="57" spans="1:18" outlineLevel="1">
      <c r="A57" s="372"/>
      <c r="B57" s="95" t="s">
        <v>8</v>
      </c>
      <c r="C57" s="95">
        <f>2240.711+224.071+524.055</f>
        <v>2988.8369999999995</v>
      </c>
      <c r="D57" s="95">
        <v>1145.76</v>
      </c>
      <c r="E57" s="54">
        <v>3080.0639999999999</v>
      </c>
      <c r="F57" s="54">
        <f t="shared" si="9"/>
        <v>3646.6559999999999</v>
      </c>
      <c r="G57" s="54"/>
      <c r="H57" s="54"/>
      <c r="I57" s="54"/>
      <c r="J57" s="54"/>
      <c r="K57" s="54"/>
      <c r="L57" s="11">
        <f t="shared" si="10"/>
        <v>0</v>
      </c>
      <c r="M57" s="12">
        <f t="shared" si="11"/>
        <v>1248</v>
      </c>
      <c r="N57" s="12"/>
    </row>
    <row r="58" spans="1:18" outlineLevel="1">
      <c r="A58" s="372"/>
      <c r="B58" s="95" t="s">
        <v>25</v>
      </c>
      <c r="C58" s="95">
        <f>4718.704+471.87+865.03</f>
        <v>6055.6039999999994</v>
      </c>
      <c r="D58" s="95">
        <v>2520.672</v>
      </c>
      <c r="E58" s="54">
        <v>5212.4160000000002</v>
      </c>
      <c r="F58" s="54">
        <f t="shared" si="9"/>
        <v>6171.2640000000001</v>
      </c>
      <c r="G58" s="54"/>
      <c r="H58" s="54"/>
      <c r="I58" s="54"/>
      <c r="J58" s="54"/>
      <c r="K58" s="54"/>
      <c r="L58" s="11">
        <f t="shared" si="10"/>
        <v>0</v>
      </c>
      <c r="M58" s="12">
        <f t="shared" si="11"/>
        <v>2112</v>
      </c>
      <c r="N58" s="12"/>
      <c r="Q58" s="235"/>
    </row>
    <row r="59" spans="1:18" outlineLevel="1">
      <c r="A59" s="372"/>
      <c r="B59" s="95" t="s">
        <v>91</v>
      </c>
      <c r="C59" s="95">
        <f>1783.948+178.395+356.145</f>
        <v>2318.4880000000003</v>
      </c>
      <c r="D59" s="95">
        <v>916.60799999999995</v>
      </c>
      <c r="E59" s="54">
        <v>2606.2080000000001</v>
      </c>
      <c r="F59" s="236">
        <f t="shared" si="9"/>
        <v>2898.6239999999998</v>
      </c>
      <c r="G59" s="54"/>
      <c r="H59" s="54"/>
      <c r="I59" s="54"/>
      <c r="J59" s="54"/>
      <c r="K59" s="54"/>
      <c r="L59" s="11">
        <f t="shared" si="10"/>
        <v>0</v>
      </c>
      <c r="M59" s="237">
        <v>992</v>
      </c>
      <c r="N59" s="238" t="s">
        <v>192</v>
      </c>
      <c r="O59" s="12"/>
      <c r="P59" s="12"/>
    </row>
    <row r="60" spans="1:18" outlineLevel="1">
      <c r="A60" s="372"/>
      <c r="B60" s="95" t="s">
        <v>93</v>
      </c>
      <c r="C60" s="95">
        <f>2860.138+286.014+570.999</f>
        <v>3717.1509999999998</v>
      </c>
      <c r="D60" s="95">
        <v>1374.912</v>
      </c>
      <c r="E60" s="55">
        <v>7107.84</v>
      </c>
      <c r="F60" s="54">
        <f t="shared" si="9"/>
        <v>8415.36</v>
      </c>
      <c r="G60" s="55"/>
      <c r="H60" s="55"/>
      <c r="I60" s="55"/>
      <c r="J60" s="55"/>
      <c r="K60" s="55"/>
      <c r="L60" s="11">
        <f t="shared" si="10"/>
        <v>0</v>
      </c>
      <c r="M60" s="12">
        <f t="shared" si="11"/>
        <v>2880</v>
      </c>
      <c r="N60" s="12"/>
    </row>
    <row r="61" spans="1:18" outlineLevel="1">
      <c r="A61" s="372"/>
      <c r="B61" s="95" t="s">
        <v>29</v>
      </c>
      <c r="C61" s="95">
        <f>10200.727+1020.073+2036.43</f>
        <v>13257.230000000001</v>
      </c>
      <c r="D61" s="95">
        <v>4812.192</v>
      </c>
      <c r="E61" s="54">
        <v>9950.9760000000006</v>
      </c>
      <c r="F61" s="54">
        <f t="shared" si="9"/>
        <v>11781.504000000001</v>
      </c>
      <c r="G61" s="54"/>
      <c r="H61" s="54"/>
      <c r="I61" s="54"/>
      <c r="J61" s="54"/>
      <c r="K61" s="54"/>
      <c r="L61" s="11">
        <f t="shared" si="10"/>
        <v>0</v>
      </c>
      <c r="M61" s="12">
        <f t="shared" si="11"/>
        <v>4032</v>
      </c>
      <c r="N61" s="12"/>
    </row>
    <row r="62" spans="1:18" outlineLevel="1">
      <c r="A62" s="372"/>
      <c r="B62" s="95" t="s">
        <v>28</v>
      </c>
      <c r="C62" s="95">
        <f>2983.886+298.389+595.683</f>
        <v>3877.9580000000001</v>
      </c>
      <c r="D62" s="95">
        <v>1374.912</v>
      </c>
      <c r="E62" s="54">
        <v>3553.92</v>
      </c>
      <c r="F62" s="54">
        <f t="shared" si="9"/>
        <v>4207.68</v>
      </c>
      <c r="G62" s="54"/>
      <c r="H62" s="54"/>
      <c r="I62" s="54"/>
      <c r="J62" s="54"/>
      <c r="K62" s="54"/>
      <c r="L62" s="11">
        <f t="shared" si="10"/>
        <v>0</v>
      </c>
      <c r="M62" s="12">
        <f t="shared" si="11"/>
        <v>1440</v>
      </c>
      <c r="N62" s="12"/>
    </row>
    <row r="63" spans="1:18" outlineLevel="1">
      <c r="A63" s="372"/>
      <c r="B63" s="95" t="s">
        <v>14</v>
      </c>
      <c r="C63" s="95"/>
      <c r="D63" s="95">
        <v>2062.3679999999999</v>
      </c>
      <c r="E63" s="54">
        <v>4027.7759999999998</v>
      </c>
      <c r="F63" s="54">
        <f t="shared" si="9"/>
        <v>4768.7039999999997</v>
      </c>
      <c r="G63" s="54"/>
      <c r="H63" s="54"/>
      <c r="I63" s="54"/>
      <c r="J63" s="54"/>
      <c r="K63" s="54"/>
      <c r="L63" s="11">
        <f t="shared" si="10"/>
        <v>0</v>
      </c>
      <c r="M63" s="12">
        <f t="shared" si="11"/>
        <v>1632</v>
      </c>
      <c r="N63" s="12"/>
      <c r="Q63" s="224"/>
      <c r="R63" s="224"/>
    </row>
    <row r="64" spans="1:18" outlineLevel="1">
      <c r="A64" s="372"/>
      <c r="B64" s="95" t="s">
        <v>193</v>
      </c>
      <c r="C64" s="95">
        <v>0</v>
      </c>
      <c r="D64" s="95">
        <v>39872.447999999997</v>
      </c>
      <c r="E64" s="54">
        <v>41225.472000000002</v>
      </c>
      <c r="F64" s="54">
        <f t="shared" si="9"/>
        <v>48809.088000000003</v>
      </c>
      <c r="G64" s="54"/>
      <c r="H64" s="54"/>
      <c r="I64" s="54"/>
      <c r="J64" s="54"/>
      <c r="K64" s="54"/>
      <c r="L64" s="11">
        <f t="shared" si="10"/>
        <v>0</v>
      </c>
      <c r="M64" s="12">
        <f t="shared" si="11"/>
        <v>16704</v>
      </c>
      <c r="N64" s="12"/>
    </row>
    <row r="65" spans="1:15" outlineLevel="1">
      <c r="A65" s="372"/>
      <c r="B65" s="95" t="s">
        <v>194</v>
      </c>
      <c r="C65" s="95">
        <v>0</v>
      </c>
      <c r="D65" s="95">
        <v>1604.0640000000001</v>
      </c>
      <c r="E65" s="54">
        <v>1658.4960000000001</v>
      </c>
      <c r="F65" s="54">
        <f t="shared" si="9"/>
        <v>1963.5840000000001</v>
      </c>
      <c r="G65" s="54"/>
      <c r="H65" s="54"/>
      <c r="I65" s="54"/>
      <c r="J65" s="54"/>
      <c r="K65" s="54"/>
      <c r="L65" s="11">
        <f t="shared" si="10"/>
        <v>0</v>
      </c>
      <c r="M65" s="12">
        <f t="shared" si="11"/>
        <v>672</v>
      </c>
      <c r="N65" s="12"/>
    </row>
    <row r="66" spans="1:15" outlineLevel="1">
      <c r="A66" s="372"/>
      <c r="B66" s="95" t="s">
        <v>195</v>
      </c>
      <c r="C66" s="95">
        <v>0</v>
      </c>
      <c r="D66" s="95">
        <v>1145.76</v>
      </c>
      <c r="E66" s="54">
        <v>1184.6400000000001</v>
      </c>
      <c r="F66" s="54">
        <f t="shared" si="9"/>
        <v>1402.56</v>
      </c>
      <c r="G66" s="54"/>
      <c r="H66" s="54"/>
      <c r="I66" s="54"/>
      <c r="J66" s="54"/>
      <c r="K66" s="54"/>
      <c r="L66" s="11">
        <f t="shared" si="10"/>
        <v>0</v>
      </c>
      <c r="M66" s="12">
        <f t="shared" si="11"/>
        <v>480</v>
      </c>
      <c r="N66" s="12"/>
    </row>
    <row r="67" spans="1:15" outlineLevel="1">
      <c r="A67" s="372"/>
      <c r="B67" s="95" t="s">
        <v>196</v>
      </c>
      <c r="C67" s="95">
        <v>0</v>
      </c>
      <c r="D67" s="95">
        <v>1604.0640000000001</v>
      </c>
      <c r="E67" s="54">
        <v>1658.4960000000001</v>
      </c>
      <c r="F67" s="54">
        <f t="shared" si="9"/>
        <v>1963.5840000000001</v>
      </c>
      <c r="G67" s="54"/>
      <c r="H67" s="54"/>
      <c r="I67" s="54"/>
      <c r="J67" s="54"/>
      <c r="K67" s="54"/>
      <c r="L67" s="11">
        <f t="shared" si="10"/>
        <v>0</v>
      </c>
      <c r="M67" s="12">
        <f t="shared" si="11"/>
        <v>672</v>
      </c>
      <c r="N67" s="12"/>
    </row>
    <row r="68" spans="1:15" outlineLevel="1">
      <c r="A68" s="372"/>
      <c r="B68" s="95" t="s">
        <v>197</v>
      </c>
      <c r="C68" s="95">
        <v>0</v>
      </c>
      <c r="D68" s="95">
        <v>3208.1280000000002</v>
      </c>
      <c r="E68" s="54">
        <v>3316.9920000000002</v>
      </c>
      <c r="F68" s="54">
        <f t="shared" si="9"/>
        <v>3927.1680000000001</v>
      </c>
      <c r="G68" s="54"/>
      <c r="H68" s="54"/>
      <c r="I68" s="54"/>
      <c r="J68" s="54"/>
      <c r="K68" s="54"/>
      <c r="L68" s="11">
        <f t="shared" si="10"/>
        <v>0</v>
      </c>
      <c r="M68" s="12">
        <f t="shared" si="11"/>
        <v>1344</v>
      </c>
      <c r="N68" s="12"/>
    </row>
    <row r="69" spans="1:15" outlineLevel="1">
      <c r="A69" s="372"/>
      <c r="B69" s="95" t="s">
        <v>198</v>
      </c>
      <c r="C69" s="95">
        <v>0</v>
      </c>
      <c r="D69" s="95">
        <v>1374.912</v>
      </c>
      <c r="E69" s="54">
        <v>1421.568</v>
      </c>
      <c r="F69" s="54">
        <f t="shared" si="9"/>
        <v>1683.0719999999999</v>
      </c>
      <c r="G69" s="54"/>
      <c r="H69" s="54"/>
      <c r="I69" s="54"/>
      <c r="J69" s="54"/>
      <c r="K69" s="54"/>
      <c r="L69" s="11">
        <f t="shared" si="10"/>
        <v>0</v>
      </c>
      <c r="M69" s="12">
        <f t="shared" si="11"/>
        <v>576</v>
      </c>
      <c r="N69" s="12"/>
    </row>
    <row r="70" spans="1:15" outlineLevel="1">
      <c r="A70" s="372"/>
      <c r="B70" s="95" t="s">
        <v>199</v>
      </c>
      <c r="C70" s="95">
        <v>0</v>
      </c>
      <c r="D70" s="95">
        <v>5957.9520000000002</v>
      </c>
      <c r="E70" s="54">
        <v>6160.1279999999997</v>
      </c>
      <c r="F70" s="54">
        <f t="shared" si="9"/>
        <v>7293.3119999999999</v>
      </c>
      <c r="G70" s="54"/>
      <c r="H70" s="54"/>
      <c r="I70" s="54"/>
      <c r="J70" s="54"/>
      <c r="K70" s="54"/>
      <c r="L70" s="11">
        <f t="shared" si="10"/>
        <v>0</v>
      </c>
      <c r="M70" s="12">
        <f t="shared" si="11"/>
        <v>2496</v>
      </c>
      <c r="N70" s="12"/>
    </row>
    <row r="71" spans="1:15" outlineLevel="1">
      <c r="A71" s="372"/>
      <c r="B71" s="95" t="s">
        <v>200</v>
      </c>
      <c r="C71" s="95">
        <v>0</v>
      </c>
      <c r="D71" s="95">
        <v>1604.0640000000001</v>
      </c>
      <c r="E71" s="54">
        <v>1658.4960000000001</v>
      </c>
      <c r="F71" s="54">
        <f t="shared" si="9"/>
        <v>1963.5840000000001</v>
      </c>
      <c r="G71" s="54"/>
      <c r="H71" s="54"/>
      <c r="I71" s="54"/>
      <c r="J71" s="54"/>
      <c r="K71" s="54"/>
      <c r="L71" s="11">
        <f t="shared" si="10"/>
        <v>0</v>
      </c>
      <c r="M71" s="12">
        <f t="shared" si="11"/>
        <v>672</v>
      </c>
      <c r="N71" s="12"/>
    </row>
    <row r="72" spans="1:15" outlineLevel="1">
      <c r="A72" s="372"/>
      <c r="B72" s="95" t="s">
        <v>201</v>
      </c>
      <c r="C72" s="95">
        <v>0</v>
      </c>
      <c r="D72" s="95">
        <v>2520.672</v>
      </c>
      <c r="E72" s="54">
        <v>2606.2080000000001</v>
      </c>
      <c r="F72" s="54">
        <f t="shared" si="9"/>
        <v>3085.6320000000001</v>
      </c>
      <c r="G72" s="54"/>
      <c r="H72" s="54"/>
      <c r="I72" s="54"/>
      <c r="J72" s="54"/>
      <c r="K72" s="54"/>
      <c r="L72" s="11">
        <f t="shared" si="10"/>
        <v>0</v>
      </c>
      <c r="M72" s="12">
        <f t="shared" si="11"/>
        <v>1056</v>
      </c>
      <c r="N72" s="12"/>
    </row>
    <row r="73" spans="1:15" outlineLevel="1">
      <c r="A73" s="372"/>
      <c r="B73" s="95" t="s">
        <v>202</v>
      </c>
      <c r="C73" s="54">
        <f>SUM(C64:C72)</f>
        <v>0</v>
      </c>
      <c r="D73" s="54">
        <f t="shared" si="7"/>
        <v>58892.063999999984</v>
      </c>
      <c r="E73" s="54">
        <f>SUM(E64:E72)+1994</f>
        <v>62884.495999999992</v>
      </c>
      <c r="F73" s="54">
        <f t="shared" si="9"/>
        <v>74452.389510534835</v>
      </c>
      <c r="G73" s="54"/>
      <c r="H73" s="54"/>
      <c r="I73" s="54"/>
      <c r="J73" s="54"/>
      <c r="K73" s="54"/>
      <c r="L73" s="11">
        <f t="shared" si="10"/>
        <v>0</v>
      </c>
      <c r="M73" s="12">
        <f t="shared" si="11"/>
        <v>25479.941653160451</v>
      </c>
      <c r="N73" s="12"/>
      <c r="O73" s="12"/>
    </row>
    <row r="74" spans="1:15" s="75" customFormat="1" outlineLevel="1">
      <c r="A74" s="372"/>
      <c r="B74" s="99" t="s">
        <v>18</v>
      </c>
      <c r="C74" s="105">
        <f t="shared" ref="C74:K74" si="12">SUM(C56:C63,C73)</f>
        <v>35682.717000000004</v>
      </c>
      <c r="D74" s="105">
        <f t="shared" si="12"/>
        <v>74474.39999999998</v>
      </c>
      <c r="E74" s="105">
        <f t="shared" si="12"/>
        <v>101977.61599999999</v>
      </c>
      <c r="F74" s="105">
        <f t="shared" si="12"/>
        <v>120549.86151053483</v>
      </c>
      <c r="G74" s="105">
        <f t="shared" si="12"/>
        <v>0</v>
      </c>
      <c r="H74" s="105">
        <f t="shared" si="12"/>
        <v>0</v>
      </c>
      <c r="I74" s="105">
        <f t="shared" si="12"/>
        <v>0</v>
      </c>
      <c r="J74" s="105">
        <f t="shared" si="12"/>
        <v>0</v>
      </c>
      <c r="K74" s="105">
        <f t="shared" si="12"/>
        <v>0</v>
      </c>
      <c r="L74" s="106">
        <f>SUM(L56:L73)</f>
        <v>0</v>
      </c>
    </row>
    <row r="75" spans="1:15" s="225" customFormat="1" ht="18.75">
      <c r="A75" s="239">
        <v>5</v>
      </c>
      <c r="B75" s="414" t="s">
        <v>203</v>
      </c>
      <c r="C75" s="414"/>
      <c r="D75" s="414"/>
      <c r="E75" s="415"/>
      <c r="F75" s="415"/>
      <c r="G75" s="415"/>
      <c r="H75" s="415"/>
      <c r="I75" s="415"/>
      <c r="J75" s="415"/>
      <c r="K75" s="415"/>
      <c r="L75" s="415"/>
    </row>
    <row r="76" spans="1:15" s="225" customFormat="1" outlineLevel="1">
      <c r="A76" s="239"/>
      <c r="B76" s="240" t="s">
        <v>4</v>
      </c>
      <c r="C76" s="54">
        <v>2056.9960000000001</v>
      </c>
      <c r="D76" s="54"/>
      <c r="E76" s="54"/>
      <c r="F76" s="241"/>
      <c r="G76" s="241"/>
      <c r="H76" s="241"/>
      <c r="I76" s="241"/>
      <c r="J76" s="241"/>
      <c r="K76" s="241"/>
      <c r="L76" s="11">
        <f t="shared" ref="L76:L77" si="13">SUM(G76:K76)</f>
        <v>0</v>
      </c>
    </row>
    <row r="77" spans="1:15" s="225" customFormat="1" outlineLevel="1">
      <c r="A77" s="239"/>
      <c r="B77" s="240" t="s">
        <v>12</v>
      </c>
      <c r="C77" s="54">
        <v>14956.719249999998</v>
      </c>
      <c r="D77" s="54">
        <v>8818.4120400000011</v>
      </c>
      <c r="E77" s="54">
        <v>5874.2433600000004</v>
      </c>
      <c r="F77" s="242"/>
      <c r="G77" s="242"/>
      <c r="H77" s="242"/>
      <c r="I77" s="242"/>
      <c r="J77" s="242"/>
      <c r="K77" s="242"/>
      <c r="L77" s="11">
        <f t="shared" si="13"/>
        <v>0</v>
      </c>
    </row>
    <row r="78" spans="1:15" s="225" customFormat="1" outlineLevel="1">
      <c r="A78" s="239"/>
      <c r="B78" s="243" t="s">
        <v>18</v>
      </c>
      <c r="C78" s="244">
        <f t="shared" ref="C78:K78" si="14">SUM(C76:C77)</f>
        <v>17013.715249999997</v>
      </c>
      <c r="D78" s="244">
        <f t="shared" si="14"/>
        <v>8818.4120400000011</v>
      </c>
      <c r="E78" s="244">
        <f t="shared" si="14"/>
        <v>5874.2433600000004</v>
      </c>
      <c r="F78" s="244">
        <f t="shared" si="14"/>
        <v>0</v>
      </c>
      <c r="G78" s="244">
        <f t="shared" si="14"/>
        <v>0</v>
      </c>
      <c r="H78" s="244">
        <f t="shared" si="14"/>
        <v>0</v>
      </c>
      <c r="I78" s="244">
        <f t="shared" si="14"/>
        <v>0</v>
      </c>
      <c r="J78" s="244">
        <f t="shared" si="14"/>
        <v>0</v>
      </c>
      <c r="K78" s="244">
        <f t="shared" si="14"/>
        <v>0</v>
      </c>
      <c r="L78" s="106">
        <f>SUM(L76:L77)</f>
        <v>0</v>
      </c>
    </row>
    <row r="79" spans="1:15" s="225" customFormat="1" ht="18.75">
      <c r="A79" s="419">
        <v>6</v>
      </c>
      <c r="B79" s="414" t="s">
        <v>204</v>
      </c>
      <c r="C79" s="414"/>
      <c r="D79" s="414"/>
      <c r="E79" s="415"/>
      <c r="F79" s="415"/>
      <c r="G79" s="415"/>
      <c r="H79" s="415"/>
      <c r="I79" s="415"/>
      <c r="J79" s="415"/>
      <c r="K79" s="415"/>
      <c r="L79" s="415"/>
    </row>
    <row r="80" spans="1:15" s="225" customFormat="1" outlineLevel="1">
      <c r="A80" s="420"/>
      <c r="B80" s="47" t="s">
        <v>4</v>
      </c>
      <c r="C80" s="95">
        <v>0</v>
      </c>
      <c r="D80" s="95">
        <v>0</v>
      </c>
      <c r="E80" s="95">
        <v>0</v>
      </c>
      <c r="F80" s="95">
        <v>0</v>
      </c>
      <c r="G80" s="95">
        <v>0</v>
      </c>
      <c r="H80" s="95">
        <v>0</v>
      </c>
      <c r="I80" s="95">
        <v>0</v>
      </c>
      <c r="J80" s="95">
        <v>0</v>
      </c>
      <c r="K80" s="95"/>
      <c r="L80" s="11">
        <f t="shared" ref="L80:L90" si="15">SUM(G80:K80)</f>
        <v>0</v>
      </c>
    </row>
    <row r="81" spans="1:12" s="225" customFormat="1" outlineLevel="1">
      <c r="A81" s="420"/>
      <c r="B81" s="47" t="s">
        <v>5</v>
      </c>
      <c r="C81" s="95">
        <v>0</v>
      </c>
      <c r="D81" s="95">
        <v>657.17093283840006</v>
      </c>
      <c r="E81" s="95">
        <f>1894491.51953/1000</f>
        <v>1894.49151953</v>
      </c>
      <c r="F81" s="245"/>
      <c r="G81" s="245"/>
      <c r="H81" s="245"/>
      <c r="I81" s="245"/>
      <c r="J81" s="245"/>
      <c r="K81" s="245"/>
      <c r="L81" s="11">
        <f t="shared" si="15"/>
        <v>0</v>
      </c>
    </row>
    <row r="82" spans="1:12" s="225" customFormat="1" outlineLevel="1">
      <c r="A82" s="420"/>
      <c r="B82" s="47" t="s">
        <v>7</v>
      </c>
      <c r="C82" s="95">
        <v>0</v>
      </c>
      <c r="D82" s="95">
        <v>232.1511699824641</v>
      </c>
      <c r="E82" s="95">
        <f>726434.34457/1000</f>
        <v>726.43434457000001</v>
      </c>
      <c r="F82" s="245"/>
      <c r="G82" s="245"/>
      <c r="H82" s="245"/>
      <c r="I82" s="245"/>
      <c r="J82" s="245"/>
      <c r="K82" s="245"/>
      <c r="L82" s="11">
        <f t="shared" si="15"/>
        <v>0</v>
      </c>
    </row>
    <row r="83" spans="1:12" s="225" customFormat="1" outlineLevel="1">
      <c r="A83" s="420"/>
      <c r="B83" s="47" t="s">
        <v>8</v>
      </c>
      <c r="C83" s="95">
        <v>0</v>
      </c>
      <c r="D83" s="95">
        <v>299.49267822336003</v>
      </c>
      <c r="E83" s="95">
        <f>795190.02628/1000</f>
        <v>795.19002627999998</v>
      </c>
      <c r="F83" s="245"/>
      <c r="G83" s="245"/>
      <c r="H83" s="245"/>
      <c r="I83" s="245"/>
      <c r="J83" s="245"/>
      <c r="K83" s="245"/>
      <c r="L83" s="11">
        <f t="shared" si="15"/>
        <v>0</v>
      </c>
    </row>
    <row r="84" spans="1:12" s="225" customFormat="1" outlineLevel="1">
      <c r="A84" s="420"/>
      <c r="B84" s="47" t="s">
        <v>9</v>
      </c>
      <c r="C84" s="95">
        <v>0</v>
      </c>
      <c r="D84" s="95">
        <v>359.74570615603199</v>
      </c>
      <c r="E84" s="95">
        <f>856708.36991/1000</f>
        <v>856.70836990999999</v>
      </c>
      <c r="F84" s="245"/>
      <c r="G84" s="245"/>
      <c r="H84" s="245"/>
      <c r="I84" s="245"/>
      <c r="J84" s="245"/>
      <c r="K84" s="245"/>
      <c r="L84" s="11">
        <f t="shared" si="15"/>
        <v>0</v>
      </c>
    </row>
    <row r="85" spans="1:12" s="225" customFormat="1" outlineLevel="1">
      <c r="A85" s="420"/>
      <c r="B85" s="47" t="s">
        <v>10</v>
      </c>
      <c r="C85" s="95">
        <v>0</v>
      </c>
      <c r="D85" s="95">
        <v>358.1212386816</v>
      </c>
      <c r="E85" s="95">
        <f t="shared" ref="E85:E86" si="16">855049.78604/1000</f>
        <v>855.04978604000007</v>
      </c>
      <c r="F85" s="245"/>
      <c r="G85" s="245"/>
      <c r="H85" s="245"/>
      <c r="I85" s="245"/>
      <c r="J85" s="245"/>
      <c r="K85" s="245"/>
      <c r="L85" s="11">
        <f t="shared" si="15"/>
        <v>0</v>
      </c>
    </row>
    <row r="86" spans="1:12" s="225" customFormat="1" outlineLevel="1">
      <c r="A86" s="420"/>
      <c r="B86" s="47" t="s">
        <v>11</v>
      </c>
      <c r="C86" s="95">
        <v>0</v>
      </c>
      <c r="D86" s="95">
        <v>358.1212386816</v>
      </c>
      <c r="E86" s="95">
        <f t="shared" si="16"/>
        <v>855.04978604000007</v>
      </c>
      <c r="F86" s="245"/>
      <c r="G86" s="245"/>
      <c r="H86" s="245"/>
      <c r="I86" s="245"/>
      <c r="J86" s="245"/>
      <c r="K86" s="245"/>
      <c r="L86" s="11">
        <f t="shared" si="15"/>
        <v>0</v>
      </c>
    </row>
    <row r="87" spans="1:12" s="225" customFormat="1" outlineLevel="1">
      <c r="A87" s="420"/>
      <c r="B87" s="47" t="s">
        <v>12</v>
      </c>
      <c r="C87" s="95">
        <v>0</v>
      </c>
      <c r="D87" s="95"/>
      <c r="E87" s="95">
        <v>0</v>
      </c>
      <c r="F87" s="95">
        <v>0</v>
      </c>
      <c r="G87" s="95">
        <v>0</v>
      </c>
      <c r="H87" s="95">
        <v>0</v>
      </c>
      <c r="I87" s="95">
        <v>0</v>
      </c>
      <c r="J87" s="95">
        <v>0</v>
      </c>
      <c r="K87" s="95"/>
      <c r="L87" s="11">
        <f t="shared" si="15"/>
        <v>0</v>
      </c>
    </row>
    <row r="88" spans="1:12" s="225" customFormat="1" outlineLevel="1">
      <c r="A88" s="420"/>
      <c r="B88" s="47" t="s">
        <v>13</v>
      </c>
      <c r="C88" s="95">
        <v>0</v>
      </c>
      <c r="D88" s="95">
        <v>1229.8695044889603</v>
      </c>
      <c r="E88" s="95">
        <f>3458032.76/1000</f>
        <v>3458.0327599999996</v>
      </c>
      <c r="F88" s="245"/>
      <c r="G88" s="245"/>
      <c r="H88" s="245"/>
      <c r="I88" s="245"/>
      <c r="J88" s="245"/>
      <c r="K88" s="245"/>
      <c r="L88" s="11">
        <f t="shared" si="15"/>
        <v>0</v>
      </c>
    </row>
    <row r="89" spans="1:12" s="225" customFormat="1" outlineLevel="1">
      <c r="A89" s="420"/>
      <c r="B89" s="47" t="s">
        <v>14</v>
      </c>
      <c r="C89" s="95">
        <v>0</v>
      </c>
      <c r="D89" s="95">
        <v>535.33587225600024</v>
      </c>
      <c r="E89" s="95">
        <f>1280689.92327/1000</f>
        <v>1280.68992327</v>
      </c>
      <c r="F89" s="245"/>
      <c r="G89" s="245"/>
      <c r="H89" s="245"/>
      <c r="I89" s="245"/>
      <c r="J89" s="245"/>
      <c r="K89" s="245"/>
      <c r="L89" s="11">
        <f t="shared" si="15"/>
        <v>0</v>
      </c>
    </row>
    <row r="90" spans="1:12" s="225" customFormat="1" outlineLevel="1">
      <c r="A90" s="420"/>
      <c r="B90" s="125" t="s">
        <v>112</v>
      </c>
      <c r="C90" s="95">
        <v>0</v>
      </c>
      <c r="D90" s="95">
        <v>1969.4016000000001</v>
      </c>
      <c r="E90" s="95">
        <v>1641.1679999999999</v>
      </c>
      <c r="F90" s="245"/>
      <c r="G90" s="245"/>
      <c r="H90" s="245"/>
      <c r="I90" s="245"/>
      <c r="J90" s="245"/>
      <c r="K90" s="245"/>
      <c r="L90" s="11">
        <f t="shared" si="15"/>
        <v>0</v>
      </c>
    </row>
    <row r="91" spans="1:12" s="225" customFormat="1" outlineLevel="1">
      <c r="A91" s="421"/>
      <c r="B91" s="232" t="s">
        <v>18</v>
      </c>
      <c r="C91" s="234">
        <f t="shared" ref="C91:K91" si="17">SUM(C80:C90)</f>
        <v>0</v>
      </c>
      <c r="D91" s="234">
        <f t="shared" si="17"/>
        <v>5999.4099413084168</v>
      </c>
      <c r="E91" s="234">
        <f t="shared" si="17"/>
        <v>12362.814515639999</v>
      </c>
      <c r="F91" s="234">
        <f t="shared" si="17"/>
        <v>0</v>
      </c>
      <c r="G91" s="234">
        <f t="shared" si="17"/>
        <v>0</v>
      </c>
      <c r="H91" s="234">
        <f t="shared" si="17"/>
        <v>0</v>
      </c>
      <c r="I91" s="234">
        <f t="shared" si="17"/>
        <v>0</v>
      </c>
      <c r="J91" s="234">
        <f t="shared" si="17"/>
        <v>0</v>
      </c>
      <c r="K91" s="234">
        <f t="shared" si="17"/>
        <v>0</v>
      </c>
      <c r="L91" s="234">
        <f>SUM(L80:L90)</f>
        <v>0</v>
      </c>
    </row>
    <row r="92" spans="1:12" s="225" customFormat="1" ht="18.75">
      <c r="A92" s="419">
        <v>7</v>
      </c>
      <c r="B92" s="414" t="s">
        <v>205</v>
      </c>
      <c r="C92" s="414"/>
      <c r="D92" s="414"/>
      <c r="E92" s="415"/>
      <c r="F92" s="415"/>
      <c r="G92" s="415"/>
      <c r="H92" s="415"/>
      <c r="I92" s="415"/>
      <c r="J92" s="415"/>
      <c r="K92" s="415"/>
      <c r="L92" s="415"/>
    </row>
    <row r="93" spans="1:12" s="225" customFormat="1" outlineLevel="1">
      <c r="A93" s="420"/>
      <c r="B93" s="159" t="s">
        <v>106</v>
      </c>
      <c r="C93" s="189">
        <v>0</v>
      </c>
      <c r="D93" s="189">
        <v>0</v>
      </c>
      <c r="E93" s="246">
        <v>0</v>
      </c>
      <c r="F93" s="246">
        <v>0</v>
      </c>
      <c r="G93" s="246">
        <v>0</v>
      </c>
      <c r="H93" s="246">
        <v>0</v>
      </c>
      <c r="I93" s="246">
        <v>0</v>
      </c>
      <c r="J93" s="246">
        <v>0</v>
      </c>
      <c r="K93" s="246"/>
      <c r="L93" s="11">
        <f t="shared" ref="L93:L102" si="18">SUM(G93:K93)</f>
        <v>0</v>
      </c>
    </row>
    <row r="94" spans="1:12" s="225" customFormat="1" outlineLevel="1">
      <c r="A94" s="420"/>
      <c r="B94" s="159" t="s">
        <v>5</v>
      </c>
      <c r="C94" s="189">
        <v>1677.6679999999999</v>
      </c>
      <c r="D94" s="189">
        <v>2387</v>
      </c>
      <c r="E94" s="246">
        <v>0</v>
      </c>
      <c r="F94" s="246">
        <v>0</v>
      </c>
      <c r="G94" s="246">
        <v>0</v>
      </c>
      <c r="H94" s="246">
        <v>0</v>
      </c>
      <c r="I94" s="246">
        <v>0</v>
      </c>
      <c r="J94" s="246">
        <v>0</v>
      </c>
      <c r="K94" s="246"/>
      <c r="L94" s="11">
        <f t="shared" si="18"/>
        <v>0</v>
      </c>
    </row>
    <row r="95" spans="1:12" s="225" customFormat="1" outlineLevel="1">
      <c r="A95" s="420"/>
      <c r="B95" s="159" t="s">
        <v>7</v>
      </c>
      <c r="C95" s="189">
        <v>0</v>
      </c>
      <c r="D95" s="189">
        <v>1107.568</v>
      </c>
      <c r="E95" s="246">
        <v>0</v>
      </c>
      <c r="F95" s="246">
        <v>0</v>
      </c>
      <c r="G95" s="246">
        <v>0</v>
      </c>
      <c r="H95" s="246">
        <v>0</v>
      </c>
      <c r="I95" s="246">
        <v>0</v>
      </c>
      <c r="J95" s="246">
        <v>0</v>
      </c>
      <c r="K95" s="246"/>
      <c r="L95" s="11">
        <f t="shared" si="18"/>
        <v>0</v>
      </c>
    </row>
    <row r="96" spans="1:12" s="225" customFormat="1" outlineLevel="1">
      <c r="A96" s="420"/>
      <c r="B96" s="159" t="s">
        <v>8</v>
      </c>
      <c r="C96" s="189">
        <v>1504.5840000000001</v>
      </c>
      <c r="D96" s="189">
        <v>1604.0640000000001</v>
      </c>
      <c r="E96" s="246">
        <v>0</v>
      </c>
      <c r="F96" s="246">
        <v>0</v>
      </c>
      <c r="G96" s="246">
        <v>0</v>
      </c>
      <c r="H96" s="246">
        <v>0</v>
      </c>
      <c r="I96" s="246">
        <v>0</v>
      </c>
      <c r="J96" s="246">
        <v>0</v>
      </c>
      <c r="K96" s="246"/>
      <c r="L96" s="11">
        <f t="shared" si="18"/>
        <v>0</v>
      </c>
    </row>
    <row r="97" spans="1:12" s="225" customFormat="1" outlineLevel="1">
      <c r="A97" s="420"/>
      <c r="B97" s="159" t="s">
        <v>9</v>
      </c>
      <c r="C97" s="189">
        <v>431.05200000000002</v>
      </c>
      <c r="D97" s="189">
        <v>1852.3119999999999</v>
      </c>
      <c r="E97" s="246">
        <v>0</v>
      </c>
      <c r="F97" s="246">
        <v>0</v>
      </c>
      <c r="G97" s="246">
        <v>0</v>
      </c>
      <c r="H97" s="246">
        <v>0</v>
      </c>
      <c r="I97" s="246">
        <v>0</v>
      </c>
      <c r="J97" s="246">
        <v>0</v>
      </c>
      <c r="K97" s="246"/>
      <c r="L97" s="11">
        <f t="shared" si="18"/>
        <v>0</v>
      </c>
    </row>
    <row r="98" spans="1:12" s="225" customFormat="1" outlineLevel="1">
      <c r="A98" s="420"/>
      <c r="B98" s="159" t="s">
        <v>10</v>
      </c>
      <c r="C98" s="189">
        <v>6246.5640000000003</v>
      </c>
      <c r="D98" s="189">
        <v>6702.6959999999999</v>
      </c>
      <c r="E98" s="246">
        <v>0</v>
      </c>
      <c r="F98" s="246">
        <v>0</v>
      </c>
      <c r="G98" s="246">
        <v>0</v>
      </c>
      <c r="H98" s="246">
        <v>0</v>
      </c>
      <c r="I98" s="246">
        <v>0</v>
      </c>
      <c r="J98" s="246">
        <v>0</v>
      </c>
      <c r="K98" s="246"/>
      <c r="L98" s="11">
        <f t="shared" si="18"/>
        <v>0</v>
      </c>
    </row>
    <row r="99" spans="1:12" s="225" customFormat="1" outlineLevel="1">
      <c r="A99" s="420"/>
      <c r="B99" s="159" t="s">
        <v>11</v>
      </c>
      <c r="C99" s="189">
        <v>424.14600000000002</v>
      </c>
      <c r="D99" s="189">
        <v>1781.25</v>
      </c>
      <c r="E99" s="246">
        <v>0</v>
      </c>
      <c r="F99" s="246">
        <v>0</v>
      </c>
      <c r="G99" s="246">
        <v>0</v>
      </c>
      <c r="H99" s="246">
        <v>0</v>
      </c>
      <c r="I99" s="246">
        <v>0</v>
      </c>
      <c r="J99" s="246">
        <v>0</v>
      </c>
      <c r="K99" s="246"/>
      <c r="L99" s="11">
        <f t="shared" si="18"/>
        <v>0</v>
      </c>
    </row>
    <row r="100" spans="1:12" s="225" customFormat="1" outlineLevel="1">
      <c r="A100" s="420"/>
      <c r="B100" s="159" t="s">
        <v>12</v>
      </c>
      <c r="C100" s="189">
        <v>0</v>
      </c>
      <c r="D100" s="189"/>
      <c r="E100" s="246">
        <v>0</v>
      </c>
      <c r="F100" s="246">
        <v>0</v>
      </c>
      <c r="G100" s="246">
        <v>0</v>
      </c>
      <c r="H100" s="246">
        <v>0</v>
      </c>
      <c r="I100" s="246">
        <v>0</v>
      </c>
      <c r="J100" s="246">
        <v>0</v>
      </c>
      <c r="K100" s="246"/>
      <c r="L100" s="11">
        <f t="shared" si="18"/>
        <v>0</v>
      </c>
    </row>
    <row r="101" spans="1:12" s="225" customFormat="1" outlineLevel="1">
      <c r="A101" s="420"/>
      <c r="B101" s="159" t="s">
        <v>13</v>
      </c>
      <c r="C101" s="189">
        <v>4255.1390000000001</v>
      </c>
      <c r="D101" s="189">
        <v>4563.9440000000004</v>
      </c>
      <c r="E101" s="246">
        <v>0</v>
      </c>
      <c r="F101" s="246">
        <v>0</v>
      </c>
      <c r="G101" s="246">
        <v>0</v>
      </c>
      <c r="H101" s="246">
        <v>0</v>
      </c>
      <c r="I101" s="246">
        <v>0</v>
      </c>
      <c r="J101" s="246">
        <v>0</v>
      </c>
      <c r="K101" s="246"/>
      <c r="L101" s="11">
        <f t="shared" si="18"/>
        <v>0</v>
      </c>
    </row>
    <row r="102" spans="1:12" s="225" customFormat="1" outlineLevel="1">
      <c r="A102" s="420"/>
      <c r="B102" s="159" t="s">
        <v>14</v>
      </c>
      <c r="C102" s="189">
        <v>0</v>
      </c>
      <c r="D102" s="189">
        <v>1604.0640000000001</v>
      </c>
      <c r="E102" s="246">
        <v>0</v>
      </c>
      <c r="F102" s="246">
        <v>0</v>
      </c>
      <c r="G102" s="246">
        <v>0</v>
      </c>
      <c r="H102" s="246">
        <v>0</v>
      </c>
      <c r="I102" s="246">
        <v>0</v>
      </c>
      <c r="J102" s="246">
        <v>0</v>
      </c>
      <c r="K102" s="246"/>
      <c r="L102" s="11">
        <f t="shared" si="18"/>
        <v>0</v>
      </c>
    </row>
    <row r="103" spans="1:12" s="225" customFormat="1" outlineLevel="1">
      <c r="A103" s="421"/>
      <c r="B103" s="232" t="s">
        <v>18</v>
      </c>
      <c r="C103" s="234">
        <f t="shared" ref="C103:L103" si="19">SUM(C93:C102)</f>
        <v>14539.153000000002</v>
      </c>
      <c r="D103" s="234">
        <f t="shared" si="19"/>
        <v>21602.897999999997</v>
      </c>
      <c r="E103" s="234">
        <f t="shared" si="19"/>
        <v>0</v>
      </c>
      <c r="F103" s="234">
        <f t="shared" si="19"/>
        <v>0</v>
      </c>
      <c r="G103" s="234">
        <f t="shared" si="19"/>
        <v>0</v>
      </c>
      <c r="H103" s="234">
        <f t="shared" si="19"/>
        <v>0</v>
      </c>
      <c r="I103" s="234">
        <f t="shared" si="19"/>
        <v>0</v>
      </c>
      <c r="J103" s="234">
        <f t="shared" si="19"/>
        <v>0</v>
      </c>
      <c r="K103" s="234">
        <f t="shared" si="19"/>
        <v>0</v>
      </c>
      <c r="L103" s="234">
        <f t="shared" si="19"/>
        <v>0</v>
      </c>
    </row>
    <row r="104" spans="1:12" ht="34.5" customHeight="1">
      <c r="A104" s="382">
        <v>8</v>
      </c>
      <c r="B104" s="369" t="s">
        <v>206</v>
      </c>
      <c r="C104" s="370"/>
      <c r="D104" s="370"/>
      <c r="E104" s="370"/>
      <c r="F104" s="370"/>
      <c r="G104" s="370"/>
      <c r="H104" s="370"/>
      <c r="I104" s="370"/>
      <c r="J104" s="370"/>
      <c r="K104" s="370"/>
      <c r="L104" s="371"/>
    </row>
    <row r="105" spans="1:12" outlineLevel="1">
      <c r="A105" s="382"/>
      <c r="B105" s="95" t="s">
        <v>108</v>
      </c>
      <c r="C105" s="95"/>
      <c r="D105" s="95"/>
      <c r="E105" s="54"/>
      <c r="F105" s="54"/>
      <c r="G105" s="54"/>
      <c r="H105" s="54"/>
      <c r="I105" s="54"/>
      <c r="J105" s="54"/>
      <c r="K105" s="54"/>
      <c r="L105" s="11">
        <f t="shared" ref="L105:L115" si="20">SUM(G105:K105)</f>
        <v>0</v>
      </c>
    </row>
    <row r="106" spans="1:12" outlineLevel="1">
      <c r="A106" s="382"/>
      <c r="B106" s="95" t="s">
        <v>4</v>
      </c>
      <c r="C106" s="95">
        <v>1771.2239999999999</v>
      </c>
      <c r="D106" s="95">
        <v>1836.915</v>
      </c>
      <c r="E106" s="54">
        <v>1869.8040000000001</v>
      </c>
      <c r="F106" s="222">
        <v>0</v>
      </c>
      <c r="G106" s="222">
        <v>0</v>
      </c>
      <c r="H106" s="222">
        <v>0</v>
      </c>
      <c r="I106" s="222">
        <v>0</v>
      </c>
      <c r="J106" s="222">
        <v>0</v>
      </c>
      <c r="K106" s="222"/>
      <c r="L106" s="11">
        <f t="shared" si="20"/>
        <v>0</v>
      </c>
    </row>
    <row r="107" spans="1:12" outlineLevel="1">
      <c r="A107" s="382"/>
      <c r="B107" s="95" t="s">
        <v>5</v>
      </c>
      <c r="C107" s="95">
        <v>491.4</v>
      </c>
      <c r="D107" s="95">
        <v>509.625</v>
      </c>
      <c r="E107" s="54">
        <v>519.12900000000002</v>
      </c>
      <c r="F107" s="222">
        <v>0</v>
      </c>
      <c r="G107" s="222">
        <v>0</v>
      </c>
      <c r="H107" s="222">
        <v>0</v>
      </c>
      <c r="I107" s="222">
        <v>0</v>
      </c>
      <c r="J107" s="222">
        <v>0</v>
      </c>
      <c r="K107" s="222"/>
      <c r="L107" s="11">
        <f t="shared" si="20"/>
        <v>0</v>
      </c>
    </row>
    <row r="108" spans="1:12" outlineLevel="1">
      <c r="A108" s="382"/>
      <c r="B108" s="95" t="s">
        <v>7</v>
      </c>
      <c r="C108" s="95">
        <v>214.03200000000001</v>
      </c>
      <c r="D108" s="95">
        <v>224.23500000000001</v>
      </c>
      <c r="E108" s="54">
        <v>230.202</v>
      </c>
      <c r="F108" s="222">
        <v>0</v>
      </c>
      <c r="G108" s="222">
        <v>0</v>
      </c>
      <c r="H108" s="222">
        <v>0</v>
      </c>
      <c r="I108" s="222">
        <v>0</v>
      </c>
      <c r="J108" s="222">
        <v>0</v>
      </c>
      <c r="K108" s="222"/>
      <c r="L108" s="11">
        <f t="shared" si="20"/>
        <v>0</v>
      </c>
    </row>
    <row r="109" spans="1:12" outlineLevel="1">
      <c r="A109" s="382"/>
      <c r="B109" s="95" t="s">
        <v>8</v>
      </c>
      <c r="C109" s="95">
        <v>362.54399999999998</v>
      </c>
      <c r="D109" s="95">
        <v>375.99</v>
      </c>
      <c r="E109" s="54">
        <v>382.887</v>
      </c>
      <c r="F109" s="222">
        <v>0</v>
      </c>
      <c r="G109" s="222">
        <v>0</v>
      </c>
      <c r="H109" s="222">
        <v>0</v>
      </c>
      <c r="I109" s="222">
        <v>0</v>
      </c>
      <c r="J109" s="222">
        <v>0</v>
      </c>
      <c r="K109" s="222"/>
      <c r="L109" s="11">
        <f t="shared" si="20"/>
        <v>0</v>
      </c>
    </row>
    <row r="110" spans="1:12" outlineLevel="1">
      <c r="A110" s="382"/>
      <c r="B110" s="95" t="s">
        <v>9</v>
      </c>
      <c r="C110" s="95">
        <v>399.67200000000003</v>
      </c>
      <c r="D110" s="95">
        <v>414.495</v>
      </c>
      <c r="E110" s="54">
        <v>422.82</v>
      </c>
      <c r="F110" s="222">
        <v>0</v>
      </c>
      <c r="G110" s="222">
        <v>0</v>
      </c>
      <c r="H110" s="222">
        <v>0</v>
      </c>
      <c r="I110" s="222">
        <v>0</v>
      </c>
      <c r="J110" s="222">
        <v>0</v>
      </c>
      <c r="K110" s="222"/>
      <c r="L110" s="11">
        <f t="shared" si="20"/>
        <v>0</v>
      </c>
    </row>
    <row r="111" spans="1:12" outlineLevel="1">
      <c r="A111" s="382"/>
      <c r="B111" s="95" t="s">
        <v>93</v>
      </c>
      <c r="C111" s="95">
        <v>434.61599999999999</v>
      </c>
      <c r="D111" s="95">
        <v>450.73500000000001</v>
      </c>
      <c r="E111" s="54">
        <v>460.404</v>
      </c>
      <c r="F111" s="222">
        <v>0</v>
      </c>
      <c r="G111" s="222">
        <v>0</v>
      </c>
      <c r="H111" s="222">
        <v>0</v>
      </c>
      <c r="I111" s="222">
        <v>0</v>
      </c>
      <c r="J111" s="222">
        <v>0</v>
      </c>
      <c r="K111" s="222"/>
      <c r="L111" s="11">
        <f t="shared" si="20"/>
        <v>0</v>
      </c>
    </row>
    <row r="112" spans="1:12" outlineLevel="1">
      <c r="A112" s="382"/>
      <c r="B112" s="95" t="s">
        <v>11</v>
      </c>
      <c r="C112" s="95">
        <v>696.69600000000003</v>
      </c>
      <c r="D112" s="95">
        <v>776.89499999999998</v>
      </c>
      <c r="E112" s="54">
        <v>791.61300000000006</v>
      </c>
      <c r="F112" s="222">
        <v>0</v>
      </c>
      <c r="G112" s="222">
        <v>0</v>
      </c>
      <c r="H112" s="222">
        <v>0</v>
      </c>
      <c r="I112" s="222">
        <v>0</v>
      </c>
      <c r="J112" s="222">
        <v>0</v>
      </c>
      <c r="K112" s="222"/>
      <c r="L112" s="11">
        <f t="shared" si="20"/>
        <v>0</v>
      </c>
    </row>
    <row r="113" spans="1:13" outlineLevel="1">
      <c r="A113" s="382"/>
      <c r="B113" s="95" t="s">
        <v>12</v>
      </c>
      <c r="C113" s="95">
        <v>995.904</v>
      </c>
      <c r="D113" s="95">
        <v>1032.8399999999999</v>
      </c>
      <c r="E113" s="54">
        <v>1052.3520000000001</v>
      </c>
      <c r="F113" s="222">
        <v>0</v>
      </c>
      <c r="G113" s="222">
        <v>0</v>
      </c>
      <c r="H113" s="222">
        <v>0</v>
      </c>
      <c r="I113" s="222">
        <v>0</v>
      </c>
      <c r="J113" s="222">
        <v>0</v>
      </c>
      <c r="K113" s="222"/>
      <c r="L113" s="11">
        <f t="shared" si="20"/>
        <v>0</v>
      </c>
    </row>
    <row r="114" spans="1:13" outlineLevel="1">
      <c r="A114" s="382"/>
      <c r="B114" s="95" t="s">
        <v>13</v>
      </c>
      <c r="C114" s="95">
        <v>1541.904</v>
      </c>
      <c r="D114" s="95">
        <v>1601.355</v>
      </c>
      <c r="E114" s="54">
        <v>1630.2059999999999</v>
      </c>
      <c r="F114" s="222">
        <v>0</v>
      </c>
      <c r="G114" s="222">
        <v>0</v>
      </c>
      <c r="H114" s="222">
        <v>0</v>
      </c>
      <c r="I114" s="222">
        <v>0</v>
      </c>
      <c r="J114" s="222">
        <v>0</v>
      </c>
      <c r="K114" s="222"/>
      <c r="L114" s="11">
        <f t="shared" si="20"/>
        <v>0</v>
      </c>
    </row>
    <row r="115" spans="1:13" outlineLevel="1">
      <c r="A115" s="382"/>
      <c r="B115" s="95" t="s">
        <v>14</v>
      </c>
      <c r="C115" s="95">
        <v>493.584</v>
      </c>
      <c r="D115" s="95">
        <v>511.89</v>
      </c>
      <c r="E115" s="54">
        <v>521.47799999999995</v>
      </c>
      <c r="F115" s="222">
        <v>0</v>
      </c>
      <c r="G115" s="222">
        <v>0</v>
      </c>
      <c r="H115" s="222">
        <v>0</v>
      </c>
      <c r="I115" s="222">
        <v>0</v>
      </c>
      <c r="J115" s="222">
        <v>0</v>
      </c>
      <c r="K115" s="222"/>
      <c r="L115" s="11">
        <f t="shared" si="20"/>
        <v>0</v>
      </c>
    </row>
    <row r="116" spans="1:13" outlineLevel="1">
      <c r="A116" s="382"/>
      <c r="B116" s="10" t="s">
        <v>18</v>
      </c>
      <c r="C116" s="11">
        <f t="shared" ref="C116:D129" si="21">SUM(C106:C115)</f>
        <v>7401.576</v>
      </c>
      <c r="D116" s="11">
        <f t="shared" si="21"/>
        <v>7734.9750000000013</v>
      </c>
      <c r="E116" s="11">
        <f t="shared" ref="E116:I129" si="22">SUM(E105:E115)</f>
        <v>7880.8950000000004</v>
      </c>
      <c r="F116" s="11">
        <f t="shared" si="22"/>
        <v>0</v>
      </c>
      <c r="G116" s="11">
        <f t="shared" si="22"/>
        <v>0</v>
      </c>
      <c r="H116" s="11">
        <f t="shared" si="22"/>
        <v>0</v>
      </c>
      <c r="I116" s="11">
        <f t="shared" si="22"/>
        <v>0</v>
      </c>
      <c r="J116" s="11">
        <f>SUM(J105:J115)</f>
        <v>0</v>
      </c>
      <c r="K116" s="11">
        <f>SUM(K105:K115)</f>
        <v>0</v>
      </c>
      <c r="L116" s="11">
        <f>SUM(L105:L115)</f>
        <v>0</v>
      </c>
      <c r="M116" s="12"/>
    </row>
    <row r="117" spans="1:13" ht="33.75" customHeight="1">
      <c r="A117" s="386">
        <v>9</v>
      </c>
      <c r="B117" s="414" t="s">
        <v>207</v>
      </c>
      <c r="C117" s="414"/>
      <c r="D117" s="414"/>
      <c r="E117" s="415"/>
      <c r="F117" s="415"/>
      <c r="G117" s="415"/>
      <c r="H117" s="415"/>
      <c r="I117" s="415"/>
      <c r="J117" s="415"/>
      <c r="K117" s="415"/>
      <c r="L117" s="415"/>
    </row>
    <row r="118" spans="1:13" outlineLevel="1">
      <c r="A118" s="386"/>
      <c r="B118" s="95" t="s">
        <v>108</v>
      </c>
      <c r="C118" s="95"/>
      <c r="D118" s="95"/>
      <c r="E118" s="54"/>
      <c r="F118" s="54">
        <v>10519.2</v>
      </c>
      <c r="G118" s="54">
        <v>11466</v>
      </c>
      <c r="H118" s="54">
        <v>12153.6</v>
      </c>
      <c r="I118" s="54">
        <v>13003.2</v>
      </c>
      <c r="J118" s="54">
        <v>13914</v>
      </c>
      <c r="K118" s="54"/>
      <c r="L118" s="11">
        <f t="shared" ref="L118:L128" si="23">SUM(G118:K118)</f>
        <v>50536.800000000003</v>
      </c>
    </row>
    <row r="119" spans="1:13" outlineLevel="1">
      <c r="A119" s="386"/>
      <c r="B119" s="95" t="s">
        <v>21</v>
      </c>
      <c r="C119" s="95">
        <v>0</v>
      </c>
      <c r="D119" s="95">
        <v>576.20052746933197</v>
      </c>
      <c r="E119" s="54">
        <v>897.31799999999998</v>
      </c>
      <c r="F119" s="54"/>
      <c r="G119" s="54"/>
      <c r="H119" s="54"/>
      <c r="I119" s="54"/>
      <c r="J119" s="54"/>
      <c r="K119" s="54"/>
      <c r="L119" s="11">
        <f t="shared" si="23"/>
        <v>0</v>
      </c>
    </row>
    <row r="120" spans="1:13" outlineLevel="1">
      <c r="A120" s="386"/>
      <c r="B120" s="95" t="s">
        <v>22</v>
      </c>
      <c r="C120" s="95">
        <v>0</v>
      </c>
      <c r="D120" s="95">
        <v>305.64415360258801</v>
      </c>
      <c r="E120" s="54">
        <v>951.34500000000003</v>
      </c>
      <c r="F120" s="54"/>
      <c r="G120" s="54"/>
      <c r="H120" s="54"/>
      <c r="I120" s="54"/>
      <c r="J120" s="54"/>
      <c r="K120" s="54"/>
      <c r="L120" s="11">
        <f t="shared" si="23"/>
        <v>0</v>
      </c>
    </row>
    <row r="121" spans="1:13" outlineLevel="1">
      <c r="A121" s="386"/>
      <c r="B121" s="95" t="s">
        <v>23</v>
      </c>
      <c r="C121" s="95">
        <v>430.24799999999999</v>
      </c>
      <c r="D121" s="95">
        <v>335.34194307780598</v>
      </c>
      <c r="E121" s="54">
        <v>521.47799999999995</v>
      </c>
      <c r="F121" s="54"/>
      <c r="G121" s="54"/>
      <c r="H121" s="54"/>
      <c r="I121" s="54"/>
      <c r="J121" s="54"/>
      <c r="K121" s="54"/>
      <c r="L121" s="11">
        <f t="shared" si="23"/>
        <v>0</v>
      </c>
    </row>
    <row r="122" spans="1:13" outlineLevel="1">
      <c r="A122" s="386"/>
      <c r="B122" s="95" t="s">
        <v>105</v>
      </c>
      <c r="C122" s="95">
        <v>393.12</v>
      </c>
      <c r="D122" s="95">
        <v>830.29629382445694</v>
      </c>
      <c r="E122" s="54">
        <v>1148.6610000000001</v>
      </c>
      <c r="F122" s="54"/>
      <c r="G122" s="54"/>
      <c r="H122" s="54"/>
      <c r="I122" s="54"/>
      <c r="J122" s="54"/>
      <c r="K122" s="54"/>
      <c r="L122" s="11">
        <f t="shared" si="23"/>
        <v>0</v>
      </c>
    </row>
    <row r="123" spans="1:13" outlineLevel="1">
      <c r="A123" s="386"/>
      <c r="B123" s="95" t="s">
        <v>106</v>
      </c>
      <c r="C123" s="95">
        <v>2788.9679999999998</v>
      </c>
      <c r="D123" s="95">
        <v>3152.6158720488197</v>
      </c>
      <c r="E123" s="54">
        <v>10260.432000000001</v>
      </c>
      <c r="F123" s="54"/>
      <c r="G123" s="54"/>
      <c r="H123" s="54"/>
      <c r="I123" s="54"/>
      <c r="J123" s="54"/>
      <c r="K123" s="54"/>
      <c r="L123" s="11">
        <f t="shared" si="23"/>
        <v>0</v>
      </c>
    </row>
    <row r="124" spans="1:13" outlineLevel="1">
      <c r="A124" s="386"/>
      <c r="B124" s="95" t="s">
        <v>25</v>
      </c>
      <c r="C124" s="95">
        <v>580.94399999999996</v>
      </c>
      <c r="D124" s="95">
        <v>581.59051772995895</v>
      </c>
      <c r="E124" s="54">
        <v>1207.386</v>
      </c>
      <c r="F124" s="54"/>
      <c r="G124" s="54"/>
      <c r="H124" s="54"/>
      <c r="I124" s="54"/>
      <c r="J124" s="54"/>
      <c r="K124" s="54"/>
      <c r="L124" s="11">
        <f t="shared" si="23"/>
        <v>0</v>
      </c>
    </row>
    <row r="125" spans="1:13" outlineLevel="1">
      <c r="A125" s="386"/>
      <c r="B125" s="95" t="s">
        <v>26</v>
      </c>
      <c r="C125" s="95">
        <v>253.34399999999999</v>
      </c>
      <c r="D125" s="95">
        <v>103.132003189439</v>
      </c>
      <c r="E125" s="54">
        <v>321.81299999999999</v>
      </c>
      <c r="F125" s="54"/>
      <c r="G125" s="54"/>
      <c r="H125" s="54"/>
      <c r="I125" s="54"/>
      <c r="J125" s="54"/>
      <c r="K125" s="54"/>
      <c r="L125" s="11">
        <f t="shared" si="23"/>
        <v>0</v>
      </c>
    </row>
    <row r="126" spans="1:13" outlineLevel="1">
      <c r="A126" s="386"/>
      <c r="B126" s="95" t="s">
        <v>27</v>
      </c>
      <c r="C126" s="95">
        <v>172.536</v>
      </c>
      <c r="D126" s="95">
        <v>445.08373007541502</v>
      </c>
      <c r="E126" s="54">
        <v>855.03599999999994</v>
      </c>
      <c r="F126" s="54"/>
      <c r="G126" s="54"/>
      <c r="H126" s="54"/>
      <c r="I126" s="54"/>
      <c r="J126" s="54"/>
      <c r="K126" s="54"/>
      <c r="L126" s="11">
        <f t="shared" si="23"/>
        <v>0</v>
      </c>
    </row>
    <row r="127" spans="1:13" outlineLevel="1">
      <c r="A127" s="386"/>
      <c r="B127" s="95" t="s">
        <v>28</v>
      </c>
      <c r="C127" s="95">
        <v>0</v>
      </c>
      <c r="D127" s="95">
        <v>307.33513093925501</v>
      </c>
      <c r="E127" s="54">
        <v>688.25699999999995</v>
      </c>
      <c r="F127" s="54"/>
      <c r="G127" s="54"/>
      <c r="H127" s="54"/>
      <c r="I127" s="54"/>
      <c r="J127" s="54"/>
      <c r="K127" s="54"/>
      <c r="L127" s="11">
        <f t="shared" si="23"/>
        <v>0</v>
      </c>
    </row>
    <row r="128" spans="1:13" outlineLevel="1">
      <c r="A128" s="386"/>
      <c r="B128" s="95" t="s">
        <v>29</v>
      </c>
      <c r="C128" s="95">
        <v>607.15200000000004</v>
      </c>
      <c r="D128" s="95">
        <v>1484.25976084641</v>
      </c>
      <c r="E128" s="54">
        <v>2640.6239999999998</v>
      </c>
      <c r="F128" s="54"/>
      <c r="G128" s="54"/>
      <c r="H128" s="54"/>
      <c r="I128" s="54"/>
      <c r="J128" s="54"/>
      <c r="K128" s="54"/>
      <c r="L128" s="11">
        <f t="shared" si="23"/>
        <v>0</v>
      </c>
    </row>
    <row r="129" spans="1:12" outlineLevel="1">
      <c r="A129" s="386"/>
      <c r="B129" s="10" t="s">
        <v>18</v>
      </c>
      <c r="C129" s="11">
        <f t="shared" si="21"/>
        <v>5226.3119999999999</v>
      </c>
      <c r="D129" s="11">
        <f t="shared" si="21"/>
        <v>8121.499932803481</v>
      </c>
      <c r="E129" s="11">
        <f t="shared" si="22"/>
        <v>19492.350000000002</v>
      </c>
      <c r="F129" s="11">
        <f>SUM(F118:F128)</f>
        <v>10519.2</v>
      </c>
      <c r="G129" s="11">
        <f t="shared" ref="G129:K129" si="24">SUM(G118:G128)</f>
        <v>11466</v>
      </c>
      <c r="H129" s="11">
        <f t="shared" si="24"/>
        <v>12153.6</v>
      </c>
      <c r="I129" s="11">
        <f t="shared" si="24"/>
        <v>13003.2</v>
      </c>
      <c r="J129" s="11">
        <f t="shared" si="24"/>
        <v>13914</v>
      </c>
      <c r="K129" s="11">
        <f t="shared" si="24"/>
        <v>0</v>
      </c>
      <c r="L129" s="11">
        <f>SUM(L118:L128)</f>
        <v>50536.800000000003</v>
      </c>
    </row>
    <row r="130" spans="1:12" ht="33.75" customHeight="1">
      <c r="A130" s="386">
        <v>10</v>
      </c>
      <c r="B130" s="414" t="s">
        <v>208</v>
      </c>
      <c r="C130" s="414"/>
      <c r="D130" s="414"/>
      <c r="E130" s="415"/>
      <c r="F130" s="415"/>
      <c r="G130" s="415"/>
      <c r="H130" s="415"/>
      <c r="I130" s="415"/>
      <c r="J130" s="415"/>
      <c r="K130" s="415"/>
      <c r="L130" s="415"/>
    </row>
    <row r="131" spans="1:12" outlineLevel="1">
      <c r="A131" s="386"/>
      <c r="B131" s="95" t="s">
        <v>21</v>
      </c>
      <c r="C131" s="95">
        <v>0</v>
      </c>
      <c r="D131" s="95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/>
      <c r="L131" s="11">
        <f t="shared" ref="L131:L141" si="25">SUM(G131:K131)</f>
        <v>0</v>
      </c>
    </row>
    <row r="132" spans="1:12" outlineLevel="1">
      <c r="A132" s="386"/>
      <c r="B132" s="95" t="s">
        <v>22</v>
      </c>
      <c r="C132" s="95">
        <v>0</v>
      </c>
      <c r="D132" s="95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/>
      <c r="L132" s="11">
        <f t="shared" si="25"/>
        <v>0</v>
      </c>
    </row>
    <row r="133" spans="1:12" outlineLevel="1">
      <c r="A133" s="386"/>
      <c r="B133" s="95" t="s">
        <v>23</v>
      </c>
      <c r="C133" s="95">
        <v>0</v>
      </c>
      <c r="D133" s="95">
        <v>0</v>
      </c>
      <c r="E133" s="54">
        <v>0</v>
      </c>
      <c r="F133" s="54">
        <v>0</v>
      </c>
      <c r="G133" s="54">
        <v>0</v>
      </c>
      <c r="H133" s="54">
        <v>0</v>
      </c>
      <c r="I133" s="54">
        <v>0</v>
      </c>
      <c r="J133" s="54">
        <v>0</v>
      </c>
      <c r="K133" s="54"/>
      <c r="L133" s="11">
        <f t="shared" si="25"/>
        <v>0</v>
      </c>
    </row>
    <row r="134" spans="1:12" outlineLevel="1">
      <c r="A134" s="386"/>
      <c r="B134" s="95" t="s">
        <v>105</v>
      </c>
      <c r="C134" s="95">
        <v>0</v>
      </c>
      <c r="D134" s="95">
        <v>0</v>
      </c>
      <c r="E134" s="54">
        <v>2794.5</v>
      </c>
      <c r="F134" s="54">
        <v>2939.5320000000002</v>
      </c>
      <c r="G134" s="54">
        <v>6408.22</v>
      </c>
      <c r="H134" s="54">
        <v>6792.5119999999997</v>
      </c>
      <c r="I134" s="54">
        <v>7267.3440000000001</v>
      </c>
      <c r="J134" s="54">
        <v>7776.38</v>
      </c>
      <c r="K134" s="54"/>
      <c r="L134" s="11">
        <f t="shared" si="25"/>
        <v>28244.456000000002</v>
      </c>
    </row>
    <row r="135" spans="1:12" outlineLevel="1">
      <c r="A135" s="386"/>
      <c r="B135" s="95" t="s">
        <v>106</v>
      </c>
      <c r="C135" s="95">
        <v>0</v>
      </c>
      <c r="D135" s="95">
        <v>0</v>
      </c>
      <c r="E135" s="54">
        <v>7957.4608799999987</v>
      </c>
      <c r="F135" s="54">
        <v>10098.432000000001</v>
      </c>
      <c r="G135" s="54">
        <v>16511.04</v>
      </c>
      <c r="H135" s="54">
        <v>17501.184000000001</v>
      </c>
      <c r="I135" s="54">
        <v>18724.608</v>
      </c>
      <c r="J135" s="54">
        <v>20036.16</v>
      </c>
      <c r="K135" s="54"/>
      <c r="L135" s="11">
        <f t="shared" si="25"/>
        <v>72772.991999999998</v>
      </c>
    </row>
    <row r="136" spans="1:12" outlineLevel="1">
      <c r="A136" s="386"/>
      <c r="B136" s="95" t="s">
        <v>25</v>
      </c>
      <c r="C136" s="95">
        <v>0</v>
      </c>
      <c r="D136" s="95">
        <v>0</v>
      </c>
      <c r="E136" s="54">
        <v>0</v>
      </c>
      <c r="F136" s="54">
        <v>0</v>
      </c>
      <c r="G136" s="54">
        <v>0</v>
      </c>
      <c r="H136" s="54">
        <v>0</v>
      </c>
      <c r="I136" s="54">
        <v>0</v>
      </c>
      <c r="J136" s="54">
        <v>0</v>
      </c>
      <c r="K136" s="54"/>
      <c r="L136" s="11">
        <f t="shared" si="25"/>
        <v>0</v>
      </c>
    </row>
    <row r="137" spans="1:12" outlineLevel="1">
      <c r="A137" s="386"/>
      <c r="B137" s="95" t="s">
        <v>26</v>
      </c>
      <c r="C137" s="95">
        <v>0</v>
      </c>
      <c r="D137" s="95">
        <v>0</v>
      </c>
      <c r="E137" s="54">
        <v>0</v>
      </c>
      <c r="F137" s="54">
        <v>0</v>
      </c>
      <c r="G137" s="54">
        <v>0</v>
      </c>
      <c r="H137" s="54">
        <v>0</v>
      </c>
      <c r="I137" s="54">
        <v>0</v>
      </c>
      <c r="J137" s="54">
        <v>0</v>
      </c>
      <c r="K137" s="54"/>
      <c r="L137" s="11">
        <f t="shared" si="25"/>
        <v>0</v>
      </c>
    </row>
    <row r="138" spans="1:12" outlineLevel="1">
      <c r="A138" s="386"/>
      <c r="B138" s="95" t="s">
        <v>27</v>
      </c>
      <c r="C138" s="95">
        <v>0</v>
      </c>
      <c r="D138" s="95">
        <v>0</v>
      </c>
      <c r="E138" s="54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54"/>
      <c r="L138" s="11">
        <f t="shared" si="25"/>
        <v>0</v>
      </c>
    </row>
    <row r="139" spans="1:12" outlineLevel="1">
      <c r="A139" s="386"/>
      <c r="B139" s="95" t="s">
        <v>28</v>
      </c>
      <c r="C139" s="95">
        <v>0</v>
      </c>
      <c r="D139" s="95">
        <v>0</v>
      </c>
      <c r="E139" s="54">
        <v>0</v>
      </c>
      <c r="F139" s="54">
        <v>0</v>
      </c>
      <c r="G139" s="54">
        <v>0</v>
      </c>
      <c r="H139" s="54">
        <v>0</v>
      </c>
      <c r="I139" s="54">
        <v>0</v>
      </c>
      <c r="J139" s="54">
        <v>0</v>
      </c>
      <c r="K139" s="54"/>
      <c r="L139" s="11">
        <f t="shared" si="25"/>
        <v>0</v>
      </c>
    </row>
    <row r="140" spans="1:12" outlineLevel="1">
      <c r="A140" s="386"/>
      <c r="B140" s="95" t="s">
        <v>29</v>
      </c>
      <c r="C140" s="95">
        <v>0</v>
      </c>
      <c r="D140" s="95">
        <v>0</v>
      </c>
      <c r="E140" s="54">
        <v>0</v>
      </c>
      <c r="F140" s="54">
        <v>0</v>
      </c>
      <c r="G140" s="54">
        <v>0</v>
      </c>
      <c r="H140" s="54">
        <v>0</v>
      </c>
      <c r="I140" s="54">
        <v>0</v>
      </c>
      <c r="J140" s="54">
        <v>0</v>
      </c>
      <c r="K140" s="54"/>
      <c r="L140" s="11">
        <f t="shared" si="25"/>
        <v>0</v>
      </c>
    </row>
    <row r="141" spans="1:12" outlineLevel="1">
      <c r="A141" s="386"/>
      <c r="B141" s="95" t="s">
        <v>112</v>
      </c>
      <c r="C141" s="95">
        <v>0</v>
      </c>
      <c r="D141" s="95">
        <v>0</v>
      </c>
      <c r="E141" s="54">
        <v>10751.960879999999</v>
      </c>
      <c r="F141" s="54">
        <v>13037.964</v>
      </c>
      <c r="G141" s="54">
        <v>22919.260000000002</v>
      </c>
      <c r="H141" s="54">
        <v>24293.696</v>
      </c>
      <c r="I141" s="54">
        <v>25991.952000000001</v>
      </c>
      <c r="J141" s="54">
        <v>27812.54</v>
      </c>
      <c r="K141" s="54"/>
      <c r="L141" s="11">
        <f t="shared" si="25"/>
        <v>101017.448</v>
      </c>
    </row>
    <row r="142" spans="1:12" outlineLevel="1">
      <c r="A142" s="386"/>
      <c r="B142" s="10" t="s">
        <v>18</v>
      </c>
      <c r="C142" s="11">
        <f t="shared" ref="C142:L142" si="26">SUM(C131:C141)</f>
        <v>0</v>
      </c>
      <c r="D142" s="11">
        <f t="shared" si="26"/>
        <v>0</v>
      </c>
      <c r="E142" s="11">
        <f t="shared" si="26"/>
        <v>21503.921759999997</v>
      </c>
      <c r="F142" s="11">
        <f t="shared" si="26"/>
        <v>26075.928</v>
      </c>
      <c r="G142" s="11">
        <f t="shared" si="26"/>
        <v>45838.520000000004</v>
      </c>
      <c r="H142" s="11">
        <f t="shared" si="26"/>
        <v>48587.392</v>
      </c>
      <c r="I142" s="11">
        <f t="shared" si="26"/>
        <v>51983.904000000002</v>
      </c>
      <c r="J142" s="11">
        <f t="shared" si="26"/>
        <v>55625.08</v>
      </c>
      <c r="K142" s="11">
        <f t="shared" si="26"/>
        <v>0</v>
      </c>
      <c r="L142" s="11">
        <f t="shared" si="26"/>
        <v>202034.89600000001</v>
      </c>
    </row>
    <row r="143" spans="1:12" ht="34.5" customHeight="1">
      <c r="A143" s="386">
        <v>11</v>
      </c>
      <c r="B143" s="414" t="s">
        <v>209</v>
      </c>
      <c r="C143" s="414"/>
      <c r="D143" s="414"/>
      <c r="E143" s="415"/>
      <c r="F143" s="415"/>
      <c r="G143" s="415"/>
      <c r="H143" s="415"/>
      <c r="I143" s="415"/>
      <c r="J143" s="415"/>
      <c r="K143" s="415"/>
      <c r="L143" s="415"/>
    </row>
    <row r="144" spans="1:12" outlineLevel="1">
      <c r="A144" s="386"/>
      <c r="B144" s="95" t="s">
        <v>21</v>
      </c>
      <c r="C144" s="95">
        <v>0</v>
      </c>
      <c r="D144" s="95">
        <v>0</v>
      </c>
      <c r="E144" s="54">
        <v>0</v>
      </c>
      <c r="F144" s="54">
        <v>0</v>
      </c>
      <c r="G144" s="54">
        <v>0</v>
      </c>
      <c r="H144" s="54">
        <v>0</v>
      </c>
      <c r="I144" s="54">
        <v>0</v>
      </c>
      <c r="J144" s="54">
        <v>0</v>
      </c>
      <c r="K144" s="54"/>
      <c r="L144" s="11">
        <f t="shared" ref="L144:L153" si="27">SUM(G144:K144)</f>
        <v>0</v>
      </c>
    </row>
    <row r="145" spans="1:12" outlineLevel="1">
      <c r="A145" s="386"/>
      <c r="B145" s="95" t="s">
        <v>22</v>
      </c>
      <c r="C145" s="95">
        <v>0</v>
      </c>
      <c r="D145" s="95">
        <v>0</v>
      </c>
      <c r="E145" s="54">
        <v>0</v>
      </c>
      <c r="F145" s="54">
        <v>0</v>
      </c>
      <c r="G145" s="54">
        <v>0</v>
      </c>
      <c r="H145" s="54">
        <v>0</v>
      </c>
      <c r="I145" s="54">
        <v>0</v>
      </c>
      <c r="J145" s="54">
        <v>0</v>
      </c>
      <c r="K145" s="54"/>
      <c r="L145" s="11">
        <f t="shared" si="27"/>
        <v>0</v>
      </c>
    </row>
    <row r="146" spans="1:12" outlineLevel="1">
      <c r="A146" s="386"/>
      <c r="B146" s="95" t="s">
        <v>23</v>
      </c>
      <c r="C146" s="95">
        <v>0</v>
      </c>
      <c r="D146" s="95">
        <v>0</v>
      </c>
      <c r="E146" s="54">
        <v>0</v>
      </c>
      <c r="F146" s="54">
        <v>0</v>
      </c>
      <c r="G146" s="54">
        <v>0</v>
      </c>
      <c r="H146" s="54">
        <v>0</v>
      </c>
      <c r="I146" s="54">
        <v>0</v>
      </c>
      <c r="J146" s="54">
        <v>0</v>
      </c>
      <c r="K146" s="54"/>
      <c r="L146" s="11">
        <f t="shared" si="27"/>
        <v>0</v>
      </c>
    </row>
    <row r="147" spans="1:12" outlineLevel="1">
      <c r="A147" s="386"/>
      <c r="B147" s="95" t="s">
        <v>105</v>
      </c>
      <c r="C147" s="95">
        <v>0</v>
      </c>
      <c r="D147" s="95">
        <v>0</v>
      </c>
      <c r="E147" s="54">
        <v>1564.434</v>
      </c>
      <c r="F147" s="54"/>
      <c r="G147" s="54"/>
      <c r="H147" s="54"/>
      <c r="I147" s="54"/>
      <c r="J147" s="54"/>
      <c r="K147" s="54"/>
      <c r="L147" s="11">
        <f t="shared" si="27"/>
        <v>0</v>
      </c>
    </row>
    <row r="148" spans="1:12" outlineLevel="1">
      <c r="A148" s="386"/>
      <c r="B148" s="95" t="s">
        <v>106</v>
      </c>
      <c r="C148" s="95">
        <v>0</v>
      </c>
      <c r="D148" s="95">
        <v>0</v>
      </c>
      <c r="E148" s="54">
        <v>4027.752</v>
      </c>
      <c r="F148" s="54"/>
      <c r="G148" s="54"/>
      <c r="H148" s="54"/>
      <c r="I148" s="54"/>
      <c r="J148" s="54"/>
      <c r="K148" s="54"/>
      <c r="L148" s="11">
        <f t="shared" si="27"/>
        <v>0</v>
      </c>
    </row>
    <row r="149" spans="1:12" outlineLevel="1">
      <c r="A149" s="386"/>
      <c r="B149" s="95" t="s">
        <v>25</v>
      </c>
      <c r="C149" s="95">
        <v>0</v>
      </c>
      <c r="D149" s="95">
        <v>0</v>
      </c>
      <c r="E149" s="54">
        <v>0</v>
      </c>
      <c r="F149" s="54">
        <v>0</v>
      </c>
      <c r="G149" s="54">
        <v>0</v>
      </c>
      <c r="H149" s="54">
        <v>0</v>
      </c>
      <c r="I149" s="54">
        <v>0</v>
      </c>
      <c r="J149" s="54">
        <v>0</v>
      </c>
      <c r="K149" s="54"/>
      <c r="L149" s="11">
        <f t="shared" si="27"/>
        <v>0</v>
      </c>
    </row>
    <row r="150" spans="1:12" outlineLevel="1">
      <c r="A150" s="386"/>
      <c r="B150" s="95" t="s">
        <v>26</v>
      </c>
      <c r="C150" s="95">
        <v>0</v>
      </c>
      <c r="D150" s="95">
        <v>0</v>
      </c>
      <c r="E150" s="54">
        <v>0</v>
      </c>
      <c r="F150" s="54">
        <v>0</v>
      </c>
      <c r="G150" s="54">
        <v>0</v>
      </c>
      <c r="H150" s="54">
        <v>0</v>
      </c>
      <c r="I150" s="54">
        <v>0</v>
      </c>
      <c r="J150" s="54">
        <v>0</v>
      </c>
      <c r="K150" s="54"/>
      <c r="L150" s="11">
        <f t="shared" si="27"/>
        <v>0</v>
      </c>
    </row>
    <row r="151" spans="1:12" outlineLevel="1">
      <c r="A151" s="386"/>
      <c r="B151" s="95" t="s">
        <v>27</v>
      </c>
      <c r="C151" s="95">
        <v>0</v>
      </c>
      <c r="D151" s="95">
        <v>0</v>
      </c>
      <c r="E151" s="54">
        <v>0</v>
      </c>
      <c r="F151" s="54">
        <v>0</v>
      </c>
      <c r="G151" s="54">
        <v>0</v>
      </c>
      <c r="H151" s="54">
        <v>0</v>
      </c>
      <c r="I151" s="54">
        <v>0</v>
      </c>
      <c r="J151" s="54">
        <v>0</v>
      </c>
      <c r="K151" s="54"/>
      <c r="L151" s="11">
        <f t="shared" si="27"/>
        <v>0</v>
      </c>
    </row>
    <row r="152" spans="1:12" outlineLevel="1">
      <c r="A152" s="386"/>
      <c r="B152" s="95" t="s">
        <v>28</v>
      </c>
      <c r="C152" s="95">
        <v>0</v>
      </c>
      <c r="D152" s="95">
        <v>0</v>
      </c>
      <c r="E152" s="54">
        <v>0</v>
      </c>
      <c r="F152" s="54">
        <v>0</v>
      </c>
      <c r="G152" s="54">
        <v>0</v>
      </c>
      <c r="H152" s="54">
        <v>0</v>
      </c>
      <c r="I152" s="54">
        <v>0</v>
      </c>
      <c r="J152" s="54">
        <v>0</v>
      </c>
      <c r="K152" s="54"/>
      <c r="L152" s="11">
        <f t="shared" si="27"/>
        <v>0</v>
      </c>
    </row>
    <row r="153" spans="1:12" outlineLevel="1">
      <c r="A153" s="386"/>
      <c r="B153" s="95" t="s">
        <v>29</v>
      </c>
      <c r="C153" s="95">
        <v>0</v>
      </c>
      <c r="D153" s="95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/>
      <c r="L153" s="11">
        <f t="shared" si="27"/>
        <v>0</v>
      </c>
    </row>
    <row r="154" spans="1:12" outlineLevel="1">
      <c r="A154" s="386"/>
      <c r="B154" s="10" t="s">
        <v>18</v>
      </c>
      <c r="C154" s="11">
        <f t="shared" ref="C154:K154" si="28">SUM(C144:C153)</f>
        <v>0</v>
      </c>
      <c r="D154" s="11">
        <f t="shared" si="28"/>
        <v>0</v>
      </c>
      <c r="E154" s="11">
        <f t="shared" si="28"/>
        <v>5592.1859999999997</v>
      </c>
      <c r="F154" s="11">
        <f t="shared" si="28"/>
        <v>0</v>
      </c>
      <c r="G154" s="11">
        <f t="shared" si="28"/>
        <v>0</v>
      </c>
      <c r="H154" s="11">
        <f t="shared" si="28"/>
        <v>0</v>
      </c>
      <c r="I154" s="11">
        <f t="shared" si="28"/>
        <v>0</v>
      </c>
      <c r="J154" s="11">
        <f t="shared" si="28"/>
        <v>0</v>
      </c>
      <c r="K154" s="11">
        <f t="shared" si="28"/>
        <v>0</v>
      </c>
      <c r="L154" s="11">
        <f>SUM(L144:L153)</f>
        <v>0</v>
      </c>
    </row>
    <row r="155" spans="1:12" ht="40.5" customHeight="1">
      <c r="A155" s="9">
        <v>12</v>
      </c>
      <c r="B155" s="414" t="s">
        <v>210</v>
      </c>
      <c r="C155" s="414"/>
      <c r="D155" s="414"/>
      <c r="E155" s="415"/>
      <c r="F155" s="415"/>
      <c r="G155" s="415"/>
      <c r="H155" s="415"/>
      <c r="I155" s="415"/>
      <c r="J155" s="415"/>
      <c r="K155" s="415"/>
      <c r="L155" s="415"/>
    </row>
    <row r="156" spans="1:12" ht="20.25" customHeight="1" outlineLevel="1">
      <c r="A156" s="389" t="s">
        <v>37</v>
      </c>
      <c r="B156" s="422" t="s">
        <v>211</v>
      </c>
      <c r="C156" s="422"/>
      <c r="D156" s="422"/>
      <c r="E156" s="423"/>
      <c r="F156" s="423"/>
      <c r="G156" s="423"/>
      <c r="H156" s="423"/>
      <c r="I156" s="423"/>
      <c r="J156" s="423"/>
      <c r="K156" s="423"/>
      <c r="L156" s="423"/>
    </row>
    <row r="157" spans="1:12" ht="15.6" customHeight="1" outlineLevel="2">
      <c r="A157" s="389"/>
      <c r="B157" s="47" t="s">
        <v>16</v>
      </c>
      <c r="C157" s="143">
        <v>0</v>
      </c>
      <c r="D157" s="143">
        <v>0</v>
      </c>
      <c r="E157" s="143">
        <v>0</v>
      </c>
      <c r="F157" s="143">
        <v>4292.4179999999997</v>
      </c>
      <c r="G157" s="143">
        <v>10217.48</v>
      </c>
      <c r="H157" s="143">
        <v>10830.208000000001</v>
      </c>
      <c r="I157" s="143">
        <v>11587.296</v>
      </c>
      <c r="J157" s="143">
        <v>12398.92</v>
      </c>
      <c r="K157" s="143"/>
      <c r="L157" s="11">
        <f t="shared" ref="L157:L167" si="29">SUM(G157:K157)</f>
        <v>45033.904000000002</v>
      </c>
    </row>
    <row r="158" spans="1:12" s="247" customFormat="1" ht="15.6" customHeight="1" outlineLevel="2">
      <c r="A158" s="389"/>
      <c r="B158" s="47" t="s">
        <v>4</v>
      </c>
      <c r="C158" s="143">
        <v>0</v>
      </c>
      <c r="D158" s="143">
        <v>0</v>
      </c>
      <c r="E158" s="143">
        <v>1805.9742699999999</v>
      </c>
      <c r="F158" s="143">
        <v>3369.0659999999998</v>
      </c>
      <c r="G158" s="143">
        <v>3672.3049999999998</v>
      </c>
      <c r="H158" s="143">
        <v>3892.5279999999998</v>
      </c>
      <c r="I158" s="143">
        <v>4164.6360000000004</v>
      </c>
      <c r="J158" s="143">
        <v>4456.3450000000003</v>
      </c>
      <c r="K158" s="143"/>
      <c r="L158" s="11">
        <f t="shared" si="29"/>
        <v>16185.814000000002</v>
      </c>
    </row>
    <row r="159" spans="1:12" s="247" customFormat="1" ht="15.6" customHeight="1" outlineLevel="2">
      <c r="A159" s="389"/>
      <c r="B159" s="47" t="s">
        <v>5</v>
      </c>
      <c r="C159" s="143">
        <v>0</v>
      </c>
      <c r="D159" s="143">
        <v>0</v>
      </c>
      <c r="E159" s="143">
        <v>86.651920000000004</v>
      </c>
      <c r="F159" s="143">
        <v>783.096</v>
      </c>
      <c r="G159" s="143">
        <v>853.58</v>
      </c>
      <c r="H159" s="143">
        <v>904.76800000000003</v>
      </c>
      <c r="I159" s="143">
        <v>968.01599999999996</v>
      </c>
      <c r="J159" s="143">
        <v>1035.82</v>
      </c>
      <c r="K159" s="143"/>
      <c r="L159" s="11">
        <f t="shared" si="29"/>
        <v>3762.1840000000002</v>
      </c>
    </row>
    <row r="160" spans="1:12" s="247" customFormat="1" ht="15.6" customHeight="1" outlineLevel="2">
      <c r="A160" s="389"/>
      <c r="B160" s="47" t="s">
        <v>7</v>
      </c>
      <c r="C160" s="143">
        <v>0</v>
      </c>
      <c r="D160" s="143">
        <v>0</v>
      </c>
      <c r="E160" s="143">
        <v>33.192770000000003</v>
      </c>
      <c r="F160" s="143">
        <v>315.57600000000002</v>
      </c>
      <c r="G160" s="143">
        <v>343.98</v>
      </c>
      <c r="H160" s="143">
        <v>364.608</v>
      </c>
      <c r="I160" s="143">
        <v>390.096</v>
      </c>
      <c r="J160" s="143">
        <v>417.42</v>
      </c>
      <c r="K160" s="143"/>
      <c r="L160" s="11">
        <f t="shared" si="29"/>
        <v>1516.104</v>
      </c>
    </row>
    <row r="161" spans="1:18" s="247" customFormat="1" ht="15.6" customHeight="1" outlineLevel="2">
      <c r="A161" s="389"/>
      <c r="B161" s="47" t="s">
        <v>8</v>
      </c>
      <c r="C161" s="143">
        <v>0</v>
      </c>
      <c r="D161" s="143">
        <v>0</v>
      </c>
      <c r="E161" s="143">
        <v>44.503059999999998</v>
      </c>
      <c r="F161" s="143">
        <v>409.08</v>
      </c>
      <c r="G161" s="143">
        <v>445.9</v>
      </c>
      <c r="H161" s="143">
        <v>472.64</v>
      </c>
      <c r="I161" s="143">
        <v>505.68</v>
      </c>
      <c r="J161" s="143">
        <v>541.1</v>
      </c>
      <c r="K161" s="143"/>
      <c r="L161" s="11">
        <f t="shared" si="29"/>
        <v>1965.3200000000002</v>
      </c>
    </row>
    <row r="162" spans="1:18" s="247" customFormat="1" ht="15.6" customHeight="1" outlineLevel="2">
      <c r="A162" s="389"/>
      <c r="B162" s="47" t="s">
        <v>9</v>
      </c>
      <c r="C162" s="143">
        <v>0</v>
      </c>
      <c r="D162" s="143">
        <v>0</v>
      </c>
      <c r="E162" s="143">
        <v>42.264850000000003</v>
      </c>
      <c r="F162" s="143">
        <v>403.23599999999999</v>
      </c>
      <c r="G162" s="143">
        <v>439.53</v>
      </c>
      <c r="H162" s="143">
        <v>465.88799999999998</v>
      </c>
      <c r="I162" s="143">
        <v>498.45600000000002</v>
      </c>
      <c r="J162" s="143">
        <v>533.37</v>
      </c>
      <c r="K162" s="143"/>
      <c r="L162" s="11">
        <f t="shared" si="29"/>
        <v>1937.2439999999997</v>
      </c>
    </row>
    <row r="163" spans="1:18" s="247" customFormat="1" ht="15.6" customHeight="1" outlineLevel="2">
      <c r="A163" s="389"/>
      <c r="B163" s="47" t="s">
        <v>10</v>
      </c>
      <c r="C163" s="143">
        <v>0</v>
      </c>
      <c r="D163" s="143">
        <v>0</v>
      </c>
      <c r="E163" s="143">
        <v>62.203229999999998</v>
      </c>
      <c r="F163" s="143">
        <v>578.55600000000004</v>
      </c>
      <c r="G163" s="143">
        <v>630.63</v>
      </c>
      <c r="H163" s="143">
        <v>668.44799999999998</v>
      </c>
      <c r="I163" s="143">
        <v>715.17600000000004</v>
      </c>
      <c r="J163" s="143">
        <v>765.27</v>
      </c>
      <c r="K163" s="143"/>
      <c r="L163" s="11">
        <f t="shared" si="29"/>
        <v>2779.5239999999999</v>
      </c>
    </row>
    <row r="164" spans="1:18" s="247" customFormat="1" ht="15.6" customHeight="1" outlineLevel="2">
      <c r="A164" s="389"/>
      <c r="B164" s="47" t="s">
        <v>11</v>
      </c>
      <c r="C164" s="143">
        <v>0</v>
      </c>
      <c r="D164" s="143">
        <v>0</v>
      </c>
      <c r="E164" s="143">
        <v>300.73867000000001</v>
      </c>
      <c r="F164" s="143">
        <v>561.024</v>
      </c>
      <c r="G164" s="143">
        <v>611.52</v>
      </c>
      <c r="H164" s="143">
        <v>648.19200000000001</v>
      </c>
      <c r="I164" s="143">
        <v>693.50400000000002</v>
      </c>
      <c r="J164" s="143">
        <v>742.08</v>
      </c>
      <c r="K164" s="143"/>
      <c r="L164" s="11">
        <f t="shared" si="29"/>
        <v>2695.2959999999998</v>
      </c>
    </row>
    <row r="165" spans="1:18" s="247" customFormat="1" ht="15.6" customHeight="1" outlineLevel="2">
      <c r="A165" s="389"/>
      <c r="B165" s="47" t="s">
        <v>12</v>
      </c>
      <c r="C165" s="143">
        <v>0</v>
      </c>
      <c r="D165" s="143">
        <v>0</v>
      </c>
      <c r="E165" s="143">
        <v>591.32466999999997</v>
      </c>
      <c r="F165" s="143">
        <v>1104.5160000000001</v>
      </c>
      <c r="G165" s="143">
        <v>1203.93</v>
      </c>
      <c r="H165" s="143">
        <v>1276.1279999999999</v>
      </c>
      <c r="I165" s="143">
        <v>1365.336</v>
      </c>
      <c r="J165" s="143">
        <v>1460.97</v>
      </c>
      <c r="K165" s="143"/>
      <c r="L165" s="11">
        <f t="shared" si="29"/>
        <v>5306.3640000000005</v>
      </c>
    </row>
    <row r="166" spans="1:18" s="247" customFormat="1" ht="15.6" customHeight="1" outlineLevel="2">
      <c r="A166" s="389"/>
      <c r="B166" s="47" t="s">
        <v>13</v>
      </c>
      <c r="C166" s="143">
        <v>0</v>
      </c>
      <c r="D166" s="143">
        <v>0</v>
      </c>
      <c r="E166" s="143">
        <v>1002.34213</v>
      </c>
      <c r="F166" s="143">
        <v>1870.08</v>
      </c>
      <c r="G166" s="143">
        <v>2038.4</v>
      </c>
      <c r="H166" s="143">
        <v>2160.64</v>
      </c>
      <c r="I166" s="143">
        <v>2311.6799999999998</v>
      </c>
      <c r="J166" s="143">
        <v>2473.6</v>
      </c>
      <c r="K166" s="143"/>
      <c r="L166" s="11">
        <f t="shared" si="29"/>
        <v>8984.32</v>
      </c>
    </row>
    <row r="167" spans="1:18" s="247" customFormat="1" ht="15.6" customHeight="1" outlineLevel="2">
      <c r="A167" s="389"/>
      <c r="B167" s="47" t="s">
        <v>14</v>
      </c>
      <c r="C167" s="143">
        <v>0</v>
      </c>
      <c r="D167" s="143">
        <v>0</v>
      </c>
      <c r="E167" s="143">
        <v>80.05932</v>
      </c>
      <c r="F167" s="143">
        <v>759.72</v>
      </c>
      <c r="G167" s="143">
        <v>828.1</v>
      </c>
      <c r="H167" s="143">
        <v>877.76</v>
      </c>
      <c r="I167" s="143">
        <v>939.12</v>
      </c>
      <c r="J167" s="143">
        <v>1004.9</v>
      </c>
      <c r="K167" s="143"/>
      <c r="L167" s="11">
        <f t="shared" si="29"/>
        <v>3649.88</v>
      </c>
    </row>
    <row r="168" spans="1:18" ht="15.75" customHeight="1" outlineLevel="2">
      <c r="A168" s="389"/>
      <c r="B168" s="10" t="s">
        <v>18</v>
      </c>
      <c r="C168" s="8">
        <f t="shared" ref="C168:L181" si="30">SUM(C157:C167)</f>
        <v>0</v>
      </c>
      <c r="D168" s="8">
        <f t="shared" si="30"/>
        <v>0</v>
      </c>
      <c r="E168" s="8">
        <f t="shared" si="30"/>
        <v>4049.2548900000002</v>
      </c>
      <c r="F168" s="8">
        <f t="shared" si="30"/>
        <v>14446.367999999999</v>
      </c>
      <c r="G168" s="8">
        <f t="shared" si="30"/>
        <v>21285.355</v>
      </c>
      <c r="H168" s="8">
        <f t="shared" si="30"/>
        <v>22561.807999999997</v>
      </c>
      <c r="I168" s="8">
        <f t="shared" si="30"/>
        <v>24138.995999999999</v>
      </c>
      <c r="J168" s="8">
        <f t="shared" si="30"/>
        <v>25829.794999999998</v>
      </c>
      <c r="K168" s="8">
        <f t="shared" si="30"/>
        <v>0</v>
      </c>
      <c r="L168" s="8">
        <f t="shared" si="30"/>
        <v>93815.954000000027</v>
      </c>
    </row>
    <row r="169" spans="1:18" ht="21" outlineLevel="1">
      <c r="A169" s="389" t="s">
        <v>37</v>
      </c>
      <c r="B169" s="422" t="s">
        <v>212</v>
      </c>
      <c r="C169" s="422"/>
      <c r="D169" s="422"/>
      <c r="E169" s="423"/>
      <c r="F169" s="423"/>
      <c r="G169" s="423"/>
      <c r="H169" s="423"/>
      <c r="I169" s="423"/>
      <c r="J169" s="423"/>
      <c r="K169" s="423"/>
      <c r="L169" s="423"/>
    </row>
    <row r="170" spans="1:18" ht="15.6" customHeight="1" outlineLevel="2">
      <c r="A170" s="389"/>
      <c r="B170" s="47" t="s">
        <v>16</v>
      </c>
      <c r="C170" s="143">
        <v>0</v>
      </c>
      <c r="D170" s="143">
        <v>0</v>
      </c>
      <c r="E170" s="143">
        <v>0</v>
      </c>
      <c r="F170" s="143">
        <v>0</v>
      </c>
      <c r="G170" s="143">
        <v>0</v>
      </c>
      <c r="H170" s="143">
        <v>0</v>
      </c>
      <c r="I170" s="143">
        <v>0</v>
      </c>
      <c r="J170" s="143">
        <v>0</v>
      </c>
      <c r="K170" s="143"/>
      <c r="L170" s="11">
        <f t="shared" ref="L170:L180" si="31">SUM(G170:K170)</f>
        <v>0</v>
      </c>
    </row>
    <row r="171" spans="1:18" s="247" customFormat="1" ht="15.6" customHeight="1" outlineLevel="2">
      <c r="A171" s="389"/>
      <c r="B171" s="47" t="s">
        <v>4</v>
      </c>
      <c r="C171" s="143">
        <v>0</v>
      </c>
      <c r="D171" s="143">
        <v>0</v>
      </c>
      <c r="E171" s="143">
        <v>1404.0809999999999</v>
      </c>
      <c r="F171" s="143">
        <v>2406.636</v>
      </c>
      <c r="G171" s="143">
        <f>2544536.2428/1000</f>
        <v>2544.5362428000003</v>
      </c>
      <c r="H171" s="143">
        <f>2616292.16484696/1000</f>
        <v>2616.2921648469601</v>
      </c>
      <c r="I171" s="143">
        <f>2715449.63789466/1000</f>
        <v>2715.4496378946596</v>
      </c>
      <c r="J171" s="143">
        <f>2818365.17917087/1000</f>
        <v>2818.3651791708703</v>
      </c>
      <c r="K171" s="143"/>
      <c r="L171" s="11">
        <f t="shared" si="31"/>
        <v>10694.64322471249</v>
      </c>
      <c r="M171" s="248"/>
      <c r="N171" s="248"/>
      <c r="O171" s="248"/>
      <c r="P171" s="248"/>
      <c r="Q171" s="248"/>
      <c r="R171" s="248"/>
    </row>
    <row r="172" spans="1:18" s="247" customFormat="1" ht="15.6" customHeight="1" outlineLevel="2">
      <c r="A172" s="389"/>
      <c r="B172" s="47" t="s">
        <v>5</v>
      </c>
      <c r="C172" s="143">
        <v>0</v>
      </c>
      <c r="D172" s="143">
        <v>0</v>
      </c>
      <c r="E172" s="143">
        <v>320.83100000000002</v>
      </c>
      <c r="F172" s="143">
        <v>549.54</v>
      </c>
      <c r="G172" s="143">
        <v>581.0286420000001</v>
      </c>
      <c r="H172" s="143">
        <v>597.41364970440009</v>
      </c>
      <c r="I172" s="143">
        <v>620.05562702819691</v>
      </c>
      <c r="J172" s="143">
        <v>643.55573529256571</v>
      </c>
      <c r="K172" s="143"/>
      <c r="L172" s="11">
        <f t="shared" si="31"/>
        <v>2442.0536540251628</v>
      </c>
    </row>
    <row r="173" spans="1:18" s="247" customFormat="1" ht="15.6" customHeight="1" outlineLevel="2">
      <c r="A173" s="389"/>
      <c r="B173" s="47" t="s">
        <v>7</v>
      </c>
      <c r="C173" s="143">
        <v>0</v>
      </c>
      <c r="D173" s="143">
        <v>0</v>
      </c>
      <c r="E173" s="143">
        <v>131.25</v>
      </c>
      <c r="F173" s="143">
        <v>224.83199999999999</v>
      </c>
      <c r="G173" s="143">
        <v>237.71487360000003</v>
      </c>
      <c r="H173" s="143">
        <v>244.41843303552002</v>
      </c>
      <c r="I173" s="143">
        <v>253.68189164756626</v>
      </c>
      <c r="J173" s="143">
        <v>263.29643534100904</v>
      </c>
      <c r="K173" s="143"/>
      <c r="L173" s="11">
        <f t="shared" si="31"/>
        <v>999.11163362409548</v>
      </c>
    </row>
    <row r="174" spans="1:18" s="247" customFormat="1" ht="15.6" customHeight="1" outlineLevel="2">
      <c r="A174" s="389"/>
      <c r="B174" s="47" t="s">
        <v>8</v>
      </c>
      <c r="C174" s="143">
        <v>0</v>
      </c>
      <c r="D174" s="143">
        <v>0</v>
      </c>
      <c r="E174" s="143">
        <v>168</v>
      </c>
      <c r="F174" s="143">
        <v>288.75599999999997</v>
      </c>
      <c r="G174" s="143">
        <v>305.3017188</v>
      </c>
      <c r="H174" s="143">
        <v>313.91122727016005</v>
      </c>
      <c r="I174" s="143">
        <v>325.8084627836991</v>
      </c>
      <c r="J174" s="143">
        <v>338.15660352320128</v>
      </c>
      <c r="K174" s="143"/>
      <c r="L174" s="11">
        <f t="shared" si="31"/>
        <v>1283.1780123770604</v>
      </c>
    </row>
    <row r="175" spans="1:18" s="247" customFormat="1" ht="15.6" customHeight="1" outlineLevel="2">
      <c r="A175" s="389"/>
      <c r="B175" s="47" t="s">
        <v>9</v>
      </c>
      <c r="C175" s="143">
        <v>0</v>
      </c>
      <c r="D175" s="143">
        <v>0</v>
      </c>
      <c r="E175" s="143">
        <v>168</v>
      </c>
      <c r="F175" s="143">
        <v>287.50799999999998</v>
      </c>
      <c r="G175" s="143">
        <v>303.98220840000005</v>
      </c>
      <c r="H175" s="143">
        <v>312.55450667688007</v>
      </c>
      <c r="I175" s="143">
        <v>324.40032247993383</v>
      </c>
      <c r="J175" s="143">
        <v>336.69509470192338</v>
      </c>
      <c r="K175" s="143"/>
      <c r="L175" s="11">
        <f t="shared" si="31"/>
        <v>1277.6321322587373</v>
      </c>
    </row>
    <row r="176" spans="1:18" s="247" customFormat="1" ht="15.6" customHeight="1" outlineLevel="2">
      <c r="A176" s="389"/>
      <c r="B176" s="47" t="s">
        <v>10</v>
      </c>
      <c r="C176" s="143">
        <v>0</v>
      </c>
      <c r="D176" s="143">
        <v>0</v>
      </c>
      <c r="E176" s="143">
        <v>245</v>
      </c>
      <c r="F176" s="143">
        <v>409.64400000000001</v>
      </c>
      <c r="G176" s="143">
        <v>433.11660120000005</v>
      </c>
      <c r="H176" s="143">
        <v>445.33048935384005</v>
      </c>
      <c r="I176" s="143">
        <v>462.20851490035068</v>
      </c>
      <c r="J176" s="143">
        <v>479.72621761507395</v>
      </c>
      <c r="K176" s="143"/>
      <c r="L176" s="11">
        <f t="shared" si="31"/>
        <v>1820.3818230692646</v>
      </c>
    </row>
    <row r="177" spans="1:19" s="247" customFormat="1" ht="15.6" customHeight="1" outlineLevel="2">
      <c r="A177" s="389"/>
      <c r="B177" s="47" t="s">
        <v>11</v>
      </c>
      <c r="C177" s="143">
        <v>0</v>
      </c>
      <c r="D177" s="143">
        <v>0</v>
      </c>
      <c r="E177" s="143">
        <v>231</v>
      </c>
      <c r="F177" s="143">
        <v>396.37200000000001</v>
      </c>
      <c r="G177" s="143">
        <v>419.08411560000008</v>
      </c>
      <c r="H177" s="143">
        <v>430.90228765992003</v>
      </c>
      <c r="I177" s="143">
        <v>447.23348436223102</v>
      </c>
      <c r="J177" s="143">
        <v>464.18363341955961</v>
      </c>
      <c r="K177" s="143"/>
      <c r="L177" s="11">
        <f t="shared" si="31"/>
        <v>1761.4035210417105</v>
      </c>
    </row>
    <row r="178" spans="1:19" s="247" customFormat="1" ht="15.6" customHeight="1" outlineLevel="2">
      <c r="A178" s="389"/>
      <c r="B178" s="47" t="s">
        <v>12</v>
      </c>
      <c r="C178" s="143">
        <v>0</v>
      </c>
      <c r="D178" s="143">
        <v>0</v>
      </c>
      <c r="E178" s="143">
        <v>455</v>
      </c>
      <c r="F178" s="143">
        <v>783.78</v>
      </c>
      <c r="G178" s="143">
        <v>828.69059400000015</v>
      </c>
      <c r="H178" s="143">
        <v>852.05966875080014</v>
      </c>
      <c r="I178" s="143">
        <v>884.35273019645558</v>
      </c>
      <c r="J178" s="143">
        <v>917.86969867090136</v>
      </c>
      <c r="K178" s="143"/>
      <c r="L178" s="11">
        <f t="shared" si="31"/>
        <v>3482.9726916181571</v>
      </c>
    </row>
    <row r="179" spans="1:19" s="247" customFormat="1" ht="15.6" customHeight="1" outlineLevel="2">
      <c r="A179" s="389"/>
      <c r="B179" s="47" t="s">
        <v>13</v>
      </c>
      <c r="C179" s="143">
        <v>0</v>
      </c>
      <c r="D179" s="143">
        <v>0</v>
      </c>
      <c r="E179" s="143">
        <v>770</v>
      </c>
      <c r="F179" s="143">
        <v>1319.46</v>
      </c>
      <c r="G179" s="143">
        <v>1395.0650580000001</v>
      </c>
      <c r="H179" s="143">
        <v>1434.4058926356001</v>
      </c>
      <c r="I179" s="143">
        <v>1488.7698759664895</v>
      </c>
      <c r="J179" s="143">
        <v>1545.1942542656197</v>
      </c>
      <c r="K179" s="143"/>
      <c r="L179" s="11">
        <f t="shared" si="31"/>
        <v>5863.43508086771</v>
      </c>
    </row>
    <row r="180" spans="1:19" s="247" customFormat="1" ht="15.6" customHeight="1" outlineLevel="2">
      <c r="A180" s="389"/>
      <c r="B180" s="47" t="s">
        <v>14</v>
      </c>
      <c r="C180" s="143">
        <v>0</v>
      </c>
      <c r="D180" s="143">
        <v>0</v>
      </c>
      <c r="E180" s="143">
        <v>315</v>
      </c>
      <c r="F180" s="143">
        <v>540.40800000000002</v>
      </c>
      <c r="G180" s="143">
        <v>571.37337840000009</v>
      </c>
      <c r="H180" s="143">
        <v>587.48610767088007</v>
      </c>
      <c r="I180" s="143">
        <v>609.75183115160644</v>
      </c>
      <c r="J180" s="143">
        <v>632.86142555225229</v>
      </c>
      <c r="K180" s="143"/>
      <c r="L180" s="11">
        <f t="shared" si="31"/>
        <v>2401.4727427747389</v>
      </c>
    </row>
    <row r="181" spans="1:19" ht="16.5" customHeight="1" outlineLevel="2">
      <c r="A181" s="389"/>
      <c r="B181" s="10" t="s">
        <v>2</v>
      </c>
      <c r="C181" s="8">
        <f t="shared" si="30"/>
        <v>0</v>
      </c>
      <c r="D181" s="8">
        <f t="shared" si="30"/>
        <v>0</v>
      </c>
      <c r="E181" s="8">
        <f t="shared" si="30"/>
        <v>4208.1620000000003</v>
      </c>
      <c r="F181" s="8">
        <f t="shared" si="30"/>
        <v>7206.9359999999997</v>
      </c>
      <c r="G181" s="8">
        <f t="shared" si="30"/>
        <v>7619.8934327999996</v>
      </c>
      <c r="H181" s="8">
        <f t="shared" si="30"/>
        <v>7834.7744276049616</v>
      </c>
      <c r="I181" s="8">
        <f t="shared" si="30"/>
        <v>8131.71237841119</v>
      </c>
      <c r="J181" s="8">
        <f t="shared" si="30"/>
        <v>8439.9042775529761</v>
      </c>
      <c r="K181" s="8">
        <f t="shared" si="30"/>
        <v>0</v>
      </c>
      <c r="L181" s="8">
        <f t="shared" si="30"/>
        <v>32026.284516369127</v>
      </c>
    </row>
    <row r="182" spans="1:19" ht="21" outlineLevel="1">
      <c r="A182" s="5"/>
      <c r="B182" s="422" t="s">
        <v>213</v>
      </c>
      <c r="C182" s="422"/>
      <c r="D182" s="422"/>
      <c r="E182" s="423"/>
      <c r="F182" s="423"/>
      <c r="G182" s="423"/>
      <c r="H182" s="423"/>
      <c r="I182" s="423"/>
      <c r="J182" s="423"/>
      <c r="K182" s="423"/>
      <c r="L182" s="423"/>
    </row>
    <row r="183" spans="1:19" ht="15.6" customHeight="1" outlineLevel="2">
      <c r="A183" s="5"/>
      <c r="B183" s="47" t="s">
        <v>16</v>
      </c>
      <c r="C183" s="143">
        <v>0</v>
      </c>
      <c r="D183" s="143">
        <v>0</v>
      </c>
      <c r="E183" s="143">
        <v>7187.94</v>
      </c>
      <c r="F183" s="143">
        <v>12579.21</v>
      </c>
      <c r="G183" s="143">
        <v>23505.3</v>
      </c>
      <c r="H183" s="143">
        <v>24914.880000000001</v>
      </c>
      <c r="I183" s="143">
        <v>26656.560000000001</v>
      </c>
      <c r="J183" s="143">
        <v>28523.7</v>
      </c>
      <c r="K183" s="143"/>
      <c r="L183" s="11">
        <f>SUM(G183:K183)</f>
        <v>103600.44</v>
      </c>
    </row>
    <row r="184" spans="1:19" s="75" customFormat="1" ht="15.6" customHeight="1" outlineLevel="2">
      <c r="A184" s="249"/>
      <c r="B184" s="20" t="s">
        <v>2</v>
      </c>
      <c r="C184" s="250">
        <f t="shared" ref="C184:L184" si="32">SUM(C183)</f>
        <v>0</v>
      </c>
      <c r="D184" s="250">
        <f t="shared" si="32"/>
        <v>0</v>
      </c>
      <c r="E184" s="250">
        <f t="shared" si="32"/>
        <v>7187.94</v>
      </c>
      <c r="F184" s="250">
        <f t="shared" si="32"/>
        <v>12579.21</v>
      </c>
      <c r="G184" s="250">
        <f t="shared" si="32"/>
        <v>23505.3</v>
      </c>
      <c r="H184" s="250">
        <f t="shared" si="32"/>
        <v>24914.880000000001</v>
      </c>
      <c r="I184" s="250">
        <f t="shared" si="32"/>
        <v>26656.560000000001</v>
      </c>
      <c r="J184" s="250">
        <f t="shared" si="32"/>
        <v>28523.7</v>
      </c>
      <c r="K184" s="250">
        <f t="shared" si="32"/>
        <v>0</v>
      </c>
      <c r="L184" s="250">
        <f t="shared" si="32"/>
        <v>103600.44</v>
      </c>
    </row>
    <row r="185" spans="1:19" ht="21" outlineLevel="1">
      <c r="A185" s="389" t="s">
        <v>37</v>
      </c>
      <c r="B185" s="422" t="s">
        <v>214</v>
      </c>
      <c r="C185" s="422"/>
      <c r="D185" s="422"/>
      <c r="E185" s="423"/>
      <c r="F185" s="423"/>
      <c r="G185" s="423"/>
      <c r="H185" s="423"/>
      <c r="I185" s="423"/>
      <c r="J185" s="423"/>
      <c r="K185" s="423"/>
      <c r="L185" s="423"/>
    </row>
    <row r="186" spans="1:19" ht="15.6" customHeight="1" outlineLevel="1">
      <c r="A186" s="389"/>
      <c r="B186" s="47" t="s">
        <v>215</v>
      </c>
      <c r="C186" s="47"/>
      <c r="D186" s="47"/>
      <c r="E186" s="143"/>
      <c r="F186" s="143"/>
      <c r="G186" s="143"/>
      <c r="H186" s="143"/>
      <c r="I186" s="143"/>
      <c r="J186" s="143"/>
      <c r="K186" s="143"/>
      <c r="L186" s="7"/>
    </row>
    <row r="187" spans="1:19" s="247" customFormat="1" ht="15.6" customHeight="1" outlineLevel="1">
      <c r="A187" s="389"/>
      <c r="B187" s="47" t="s">
        <v>4</v>
      </c>
      <c r="C187" s="143">
        <v>0</v>
      </c>
      <c r="D187" s="143">
        <v>0</v>
      </c>
      <c r="E187" s="143">
        <v>2480.5439999999999</v>
      </c>
      <c r="F187" s="143">
        <v>2267.4720000000002</v>
      </c>
      <c r="G187" s="143">
        <v>4280.6400000000003</v>
      </c>
      <c r="H187" s="143">
        <v>4537.3440000000001</v>
      </c>
      <c r="I187" s="143">
        <v>4854.5280000000002</v>
      </c>
      <c r="J187" s="143">
        <v>5194.5600000000004</v>
      </c>
      <c r="K187" s="143"/>
      <c r="L187" s="11">
        <f t="shared" ref="L187:L196" si="33">SUM(G187:K187)</f>
        <v>18867.072</v>
      </c>
      <c r="M187" s="248"/>
      <c r="N187" s="248"/>
      <c r="O187" s="248"/>
      <c r="P187" s="248"/>
      <c r="Q187" s="248"/>
      <c r="R187" s="248"/>
      <c r="S187" s="248"/>
    </row>
    <row r="188" spans="1:19" s="247" customFormat="1" ht="15.6" customHeight="1" outlineLevel="1">
      <c r="A188" s="389"/>
      <c r="B188" s="47" t="s">
        <v>5</v>
      </c>
      <c r="C188" s="143">
        <v>0</v>
      </c>
      <c r="D188" s="143">
        <v>0</v>
      </c>
      <c r="E188" s="143">
        <v>563.76</v>
      </c>
      <c r="F188" s="143">
        <v>514.27200000000005</v>
      </c>
      <c r="G188" s="143">
        <v>993.72</v>
      </c>
      <c r="H188" s="143">
        <v>1053.3119999999999</v>
      </c>
      <c r="I188" s="143">
        <v>1126.944</v>
      </c>
      <c r="J188" s="143">
        <v>1205.8800000000001</v>
      </c>
      <c r="K188" s="143"/>
      <c r="L188" s="11">
        <f t="shared" si="33"/>
        <v>4379.8559999999998</v>
      </c>
    </row>
    <row r="189" spans="1:19" s="247" customFormat="1" ht="15.6" customHeight="1" outlineLevel="1">
      <c r="A189" s="389"/>
      <c r="B189" s="47" t="s">
        <v>7</v>
      </c>
      <c r="C189" s="143">
        <v>0</v>
      </c>
      <c r="D189" s="143">
        <v>0</v>
      </c>
      <c r="E189" s="143">
        <v>225.50399999999999</v>
      </c>
      <c r="F189" s="143">
        <v>210.38399999999999</v>
      </c>
      <c r="G189" s="143">
        <v>420.42</v>
      </c>
      <c r="H189" s="143">
        <v>445.63200000000001</v>
      </c>
      <c r="I189" s="143">
        <v>476.78399999999999</v>
      </c>
      <c r="J189" s="143">
        <v>510.18</v>
      </c>
      <c r="K189" s="143"/>
      <c r="L189" s="11">
        <f t="shared" si="33"/>
        <v>1853.0160000000001</v>
      </c>
    </row>
    <row r="190" spans="1:19" s="247" customFormat="1" ht="15.6" customHeight="1" outlineLevel="1">
      <c r="A190" s="389"/>
      <c r="B190" s="47" t="s">
        <v>8</v>
      </c>
      <c r="C190" s="143">
        <v>0</v>
      </c>
      <c r="D190" s="143">
        <v>0</v>
      </c>
      <c r="E190" s="143">
        <v>300.67200000000003</v>
      </c>
      <c r="F190" s="143">
        <v>280.512</v>
      </c>
      <c r="G190" s="143">
        <v>535.08000000000004</v>
      </c>
      <c r="H190" s="143">
        <v>567.16800000000001</v>
      </c>
      <c r="I190" s="143">
        <v>606.81600000000003</v>
      </c>
      <c r="J190" s="143">
        <v>649.32000000000005</v>
      </c>
      <c r="K190" s="143"/>
      <c r="L190" s="11">
        <f t="shared" si="33"/>
        <v>2358.384</v>
      </c>
    </row>
    <row r="191" spans="1:19" s="247" customFormat="1" ht="15.6" customHeight="1" outlineLevel="1">
      <c r="A191" s="389"/>
      <c r="B191" s="47" t="s">
        <v>9</v>
      </c>
      <c r="C191" s="143">
        <v>0</v>
      </c>
      <c r="D191" s="143">
        <v>0</v>
      </c>
      <c r="E191" s="143">
        <v>300.67200000000003</v>
      </c>
      <c r="F191" s="143">
        <v>280.512</v>
      </c>
      <c r="G191" s="143">
        <v>535.08000000000004</v>
      </c>
      <c r="H191" s="143">
        <v>567.16800000000001</v>
      </c>
      <c r="I191" s="143">
        <v>606.81600000000003</v>
      </c>
      <c r="J191" s="143">
        <v>649.32000000000005</v>
      </c>
      <c r="K191" s="143"/>
      <c r="L191" s="11">
        <f t="shared" si="33"/>
        <v>2358.384</v>
      </c>
    </row>
    <row r="192" spans="1:19" s="247" customFormat="1" ht="15.6" customHeight="1" outlineLevel="1">
      <c r="A192" s="389"/>
      <c r="B192" s="47" t="s">
        <v>10</v>
      </c>
      <c r="C192" s="143">
        <v>0</v>
      </c>
      <c r="D192" s="143">
        <v>0</v>
      </c>
      <c r="E192" s="143">
        <v>394.63200000000001</v>
      </c>
      <c r="F192" s="143">
        <v>374.01600000000002</v>
      </c>
      <c r="G192" s="143">
        <v>764.4</v>
      </c>
      <c r="H192" s="143">
        <v>810.24</v>
      </c>
      <c r="I192" s="143">
        <v>866.88</v>
      </c>
      <c r="J192" s="143">
        <v>927.6</v>
      </c>
      <c r="K192" s="143"/>
      <c r="L192" s="11">
        <f t="shared" si="33"/>
        <v>3369.12</v>
      </c>
    </row>
    <row r="193" spans="1:13" s="247" customFormat="1" ht="15.6" customHeight="1" outlineLevel="1">
      <c r="A193" s="389"/>
      <c r="B193" s="47" t="s">
        <v>11</v>
      </c>
      <c r="C193" s="143">
        <v>0</v>
      </c>
      <c r="D193" s="143">
        <v>0</v>
      </c>
      <c r="E193" s="143">
        <v>413.42399999999998</v>
      </c>
      <c r="F193" s="143">
        <v>374.01600000000002</v>
      </c>
      <c r="G193" s="143">
        <v>726.18</v>
      </c>
      <c r="H193" s="143">
        <v>769.72799999999995</v>
      </c>
      <c r="I193" s="143">
        <v>823.53599999999994</v>
      </c>
      <c r="J193" s="143">
        <v>881.22</v>
      </c>
      <c r="K193" s="143"/>
      <c r="L193" s="11">
        <f t="shared" si="33"/>
        <v>3200.6639999999998</v>
      </c>
    </row>
    <row r="194" spans="1:13" s="247" customFormat="1" ht="15.6" customHeight="1" outlineLevel="1">
      <c r="A194" s="389"/>
      <c r="B194" s="47" t="s">
        <v>12</v>
      </c>
      <c r="C194" s="143">
        <v>0</v>
      </c>
      <c r="D194" s="143">
        <v>0</v>
      </c>
      <c r="E194" s="143">
        <v>808.05600000000004</v>
      </c>
      <c r="F194" s="143">
        <v>748.03200000000004</v>
      </c>
      <c r="G194" s="143">
        <v>1414.14</v>
      </c>
      <c r="H194" s="143">
        <v>1498.944</v>
      </c>
      <c r="I194" s="143">
        <v>1603.7280000000001</v>
      </c>
      <c r="J194" s="143">
        <v>1716.06</v>
      </c>
      <c r="K194" s="143"/>
      <c r="L194" s="11">
        <f t="shared" si="33"/>
        <v>6232.8719999999994</v>
      </c>
    </row>
    <row r="195" spans="1:13" s="247" customFormat="1" ht="15.6" customHeight="1" outlineLevel="1">
      <c r="A195" s="389"/>
      <c r="B195" s="47" t="s">
        <v>13</v>
      </c>
      <c r="C195" s="143">
        <v>0</v>
      </c>
      <c r="D195" s="143">
        <v>0</v>
      </c>
      <c r="E195" s="143">
        <v>1353.0239999999999</v>
      </c>
      <c r="F195" s="143">
        <v>1238.9280000000001</v>
      </c>
      <c r="G195" s="143">
        <v>2369.64</v>
      </c>
      <c r="H195" s="143">
        <v>2511.7440000000001</v>
      </c>
      <c r="I195" s="143">
        <v>2687.328</v>
      </c>
      <c r="J195" s="143">
        <v>2875.56</v>
      </c>
      <c r="K195" s="143"/>
      <c r="L195" s="11">
        <f t="shared" si="33"/>
        <v>10444.271999999999</v>
      </c>
    </row>
    <row r="196" spans="1:13" s="247" customFormat="1" ht="15.6" customHeight="1" outlineLevel="1">
      <c r="A196" s="389"/>
      <c r="B196" s="47" t="s">
        <v>14</v>
      </c>
      <c r="C196" s="143">
        <v>0</v>
      </c>
      <c r="D196" s="143">
        <v>0</v>
      </c>
      <c r="E196" s="143">
        <v>563.76</v>
      </c>
      <c r="F196" s="143">
        <v>490.89600000000002</v>
      </c>
      <c r="G196" s="143">
        <v>955.5</v>
      </c>
      <c r="H196" s="143">
        <v>1012.8</v>
      </c>
      <c r="I196" s="143">
        <v>1083.5999999999999</v>
      </c>
      <c r="J196" s="143">
        <v>1159.5</v>
      </c>
      <c r="K196" s="143"/>
      <c r="L196" s="11">
        <f t="shared" si="33"/>
        <v>4211.3999999999996</v>
      </c>
    </row>
    <row r="197" spans="1:13" ht="15.75" customHeight="1" outlineLevel="1">
      <c r="A197" s="389"/>
      <c r="B197" s="10" t="s">
        <v>2</v>
      </c>
      <c r="C197" s="8">
        <f t="shared" ref="C197:E197" si="34">SUM(C186:C196)</f>
        <v>0</v>
      </c>
      <c r="D197" s="8">
        <f t="shared" si="34"/>
        <v>0</v>
      </c>
      <c r="E197" s="8">
        <f t="shared" si="34"/>
        <v>7404.0479999999989</v>
      </c>
      <c r="F197" s="8">
        <f t="shared" ref="F197:K197" si="35">SUM(F187:F196)</f>
        <v>6779.04</v>
      </c>
      <c r="G197" s="8">
        <f t="shared" si="35"/>
        <v>12994.8</v>
      </c>
      <c r="H197" s="8">
        <f t="shared" si="35"/>
        <v>13774.079999999998</v>
      </c>
      <c r="I197" s="8">
        <f t="shared" si="35"/>
        <v>14736.96</v>
      </c>
      <c r="J197" s="8">
        <f t="shared" si="35"/>
        <v>15769.199999999999</v>
      </c>
      <c r="K197" s="8">
        <f t="shared" si="35"/>
        <v>0</v>
      </c>
      <c r="L197" s="8">
        <f>SUM(L187:L196)</f>
        <v>57275.040000000001</v>
      </c>
    </row>
    <row r="198" spans="1:13" ht="34.5" customHeight="1">
      <c r="A198" s="386">
        <v>13</v>
      </c>
      <c r="B198" s="414" t="s">
        <v>216</v>
      </c>
      <c r="C198" s="414"/>
      <c r="D198" s="414"/>
      <c r="E198" s="415"/>
      <c r="F198" s="415"/>
      <c r="G198" s="415"/>
      <c r="H198" s="415"/>
      <c r="I198" s="415"/>
      <c r="J198" s="415"/>
      <c r="K198" s="415"/>
      <c r="L198" s="415"/>
      <c r="M198" s="12"/>
    </row>
    <row r="199" spans="1:13" ht="18.75" outlineLevel="2">
      <c r="A199" s="386"/>
      <c r="B199" s="424" t="s">
        <v>217</v>
      </c>
      <c r="C199" s="425"/>
      <c r="D199" s="425"/>
      <c r="E199" s="425"/>
      <c r="F199" s="425"/>
      <c r="G199" s="425"/>
      <c r="H199" s="425"/>
      <c r="I199" s="425"/>
      <c r="J199" s="425"/>
      <c r="K199" s="425"/>
      <c r="L199" s="426"/>
    </row>
    <row r="200" spans="1:13" outlineLevel="2">
      <c r="A200" s="386"/>
      <c r="B200" s="47" t="s">
        <v>16</v>
      </c>
      <c r="C200" s="251"/>
      <c r="D200" s="251"/>
      <c r="E200" s="251"/>
      <c r="F200" s="252">
        <v>16472.092000000001</v>
      </c>
      <c r="G200" s="252">
        <v>28113.200000000001</v>
      </c>
      <c r="H200" s="252">
        <v>30278.335999999999</v>
      </c>
      <c r="I200" s="252">
        <v>32426.687999999998</v>
      </c>
      <c r="J200" s="252">
        <v>34734.487999999998</v>
      </c>
      <c r="K200" s="252"/>
      <c r="L200" s="11">
        <f t="shared" ref="L200:L216" si="36">SUM(G200:K200)</f>
        <v>125552.712</v>
      </c>
    </row>
    <row r="201" spans="1:13" ht="31.5" outlineLevel="2">
      <c r="A201" s="386"/>
      <c r="B201" s="47" t="s">
        <v>137</v>
      </c>
      <c r="C201" s="251"/>
      <c r="D201" s="251"/>
      <c r="E201" s="251"/>
      <c r="F201" s="252">
        <v>18233.124</v>
      </c>
      <c r="G201" s="252">
        <v>20153.599999999999</v>
      </c>
      <c r="H201" s="252">
        <v>21705.727999999999</v>
      </c>
      <c r="I201" s="252">
        <v>23245.824000000001</v>
      </c>
      <c r="J201" s="252">
        <v>24900.223999999998</v>
      </c>
      <c r="K201" s="252"/>
      <c r="L201" s="11">
        <f t="shared" si="36"/>
        <v>90005.375999999989</v>
      </c>
    </row>
    <row r="202" spans="1:13" outlineLevel="2">
      <c r="A202" s="386"/>
      <c r="B202" s="47" t="s">
        <v>5</v>
      </c>
      <c r="C202" s="251"/>
      <c r="D202" s="251"/>
      <c r="E202" s="251"/>
      <c r="F202" s="252">
        <v>2110.7840000000001</v>
      </c>
      <c r="G202" s="252">
        <v>3490.7</v>
      </c>
      <c r="H202" s="252">
        <v>3759.5360000000001</v>
      </c>
      <c r="I202" s="252">
        <v>4026.288</v>
      </c>
      <c r="J202" s="252">
        <v>4312.8379999999997</v>
      </c>
      <c r="K202" s="252"/>
      <c r="L202" s="11">
        <f t="shared" si="36"/>
        <v>15589.361999999999</v>
      </c>
    </row>
    <row r="203" spans="1:13" outlineLevel="2">
      <c r="A203" s="386"/>
      <c r="B203" s="47" t="s">
        <v>7</v>
      </c>
      <c r="C203" s="251"/>
      <c r="D203" s="251"/>
      <c r="E203" s="251"/>
      <c r="F203" s="252">
        <v>923.46799999999996</v>
      </c>
      <c r="G203" s="252">
        <v>1681.7</v>
      </c>
      <c r="H203" s="252">
        <v>1811.2159999999999</v>
      </c>
      <c r="I203" s="252">
        <v>1939.7280000000001</v>
      </c>
      <c r="J203" s="252">
        <v>2077.7779999999998</v>
      </c>
      <c r="K203" s="252"/>
      <c r="L203" s="11">
        <f t="shared" si="36"/>
        <v>7510.4220000000005</v>
      </c>
    </row>
    <row r="204" spans="1:13" outlineLevel="2">
      <c r="A204" s="386"/>
      <c r="B204" s="47" t="s">
        <v>8</v>
      </c>
      <c r="C204" s="251"/>
      <c r="D204" s="251"/>
      <c r="E204" s="251"/>
      <c r="F204" s="252">
        <v>1214.9280000000001</v>
      </c>
      <c r="G204" s="252">
        <v>2103.8000000000002</v>
      </c>
      <c r="H204" s="252">
        <v>2265.8240000000001</v>
      </c>
      <c r="I204" s="252">
        <v>2426.5920000000001</v>
      </c>
      <c r="J204" s="252">
        <v>2599.2919999999999</v>
      </c>
      <c r="K204" s="252"/>
      <c r="L204" s="11">
        <f t="shared" si="36"/>
        <v>9395.5079999999998</v>
      </c>
    </row>
    <row r="205" spans="1:13" outlineLevel="2">
      <c r="A205" s="386"/>
      <c r="B205" s="47" t="s">
        <v>9</v>
      </c>
      <c r="C205" s="251"/>
      <c r="D205" s="251"/>
      <c r="E205" s="251"/>
      <c r="F205" s="252">
        <v>1224.1320000000001</v>
      </c>
      <c r="G205" s="252">
        <v>2117.1999999999998</v>
      </c>
      <c r="H205" s="252">
        <v>2280.2559999999999</v>
      </c>
      <c r="I205" s="252">
        <v>2442.0479999999998</v>
      </c>
      <c r="J205" s="252">
        <v>2615.848</v>
      </c>
      <c r="K205" s="252"/>
      <c r="L205" s="11">
        <f t="shared" si="36"/>
        <v>9455.351999999999</v>
      </c>
    </row>
    <row r="206" spans="1:13" outlineLevel="2">
      <c r="A206" s="386"/>
      <c r="B206" s="47" t="s">
        <v>140</v>
      </c>
      <c r="C206" s="251"/>
      <c r="D206" s="251"/>
      <c r="E206" s="251"/>
      <c r="F206" s="252">
        <v>3230.6039999999998</v>
      </c>
      <c r="G206" s="252">
        <v>5349.95</v>
      </c>
      <c r="H206" s="252">
        <v>5761.9759999999997</v>
      </c>
      <c r="I206" s="252">
        <v>6170.808</v>
      </c>
      <c r="J206" s="252">
        <v>6609.9830000000002</v>
      </c>
      <c r="K206" s="252"/>
      <c r="L206" s="11">
        <f t="shared" si="36"/>
        <v>23892.717000000001</v>
      </c>
    </row>
    <row r="207" spans="1:13" outlineLevel="2">
      <c r="A207" s="386"/>
      <c r="B207" s="47" t="s">
        <v>11</v>
      </c>
      <c r="C207" s="251"/>
      <c r="D207" s="251"/>
      <c r="E207" s="251"/>
      <c r="F207" s="252">
        <v>1693.5360000000001</v>
      </c>
      <c r="G207" s="252">
        <v>2934.6</v>
      </c>
      <c r="H207" s="252">
        <v>3160.6080000000002</v>
      </c>
      <c r="I207" s="252">
        <v>3384.864</v>
      </c>
      <c r="J207" s="252">
        <v>3625.7640000000001</v>
      </c>
      <c r="K207" s="252"/>
      <c r="L207" s="11">
        <f t="shared" si="36"/>
        <v>13105.835999999999</v>
      </c>
    </row>
    <row r="208" spans="1:13" outlineLevel="2">
      <c r="A208" s="386"/>
      <c r="B208" s="47" t="s">
        <v>12</v>
      </c>
      <c r="C208" s="251"/>
      <c r="D208" s="251"/>
      <c r="E208" s="251"/>
      <c r="F208" s="252">
        <v>3273.556</v>
      </c>
      <c r="G208" s="252">
        <v>3721.85</v>
      </c>
      <c r="H208" s="252">
        <v>4008.4879999999998</v>
      </c>
      <c r="I208" s="252">
        <v>4292.9040000000005</v>
      </c>
      <c r="J208" s="252">
        <v>4598.4290000000001</v>
      </c>
      <c r="K208" s="252"/>
      <c r="L208" s="11">
        <f t="shared" si="36"/>
        <v>16621.671000000002</v>
      </c>
    </row>
    <row r="209" spans="1:12" outlineLevel="2">
      <c r="A209" s="386"/>
      <c r="B209" s="47" t="s">
        <v>144</v>
      </c>
      <c r="C209" s="251"/>
      <c r="D209" s="251"/>
      <c r="E209" s="251"/>
      <c r="F209" s="252">
        <v>4810.6239999999998</v>
      </c>
      <c r="G209" s="252">
        <v>9068.4500000000007</v>
      </c>
      <c r="H209" s="252">
        <v>9766.8559999999998</v>
      </c>
      <c r="I209" s="252">
        <v>10459.848</v>
      </c>
      <c r="J209" s="252">
        <v>11204.272999999999</v>
      </c>
      <c r="K209" s="252"/>
      <c r="L209" s="11">
        <f t="shared" si="36"/>
        <v>40499.427000000003</v>
      </c>
    </row>
    <row r="210" spans="1:12" outlineLevel="2">
      <c r="A210" s="386"/>
      <c r="B210" s="47" t="s">
        <v>14</v>
      </c>
      <c r="C210" s="251"/>
      <c r="D210" s="251"/>
      <c r="E210" s="251"/>
      <c r="F210" s="252">
        <v>1506.3879999999999</v>
      </c>
      <c r="G210" s="252">
        <v>2740.3</v>
      </c>
      <c r="H210" s="252">
        <v>2951.3440000000001</v>
      </c>
      <c r="I210" s="252">
        <v>3160.752</v>
      </c>
      <c r="J210" s="252">
        <v>3385.7020000000002</v>
      </c>
      <c r="K210" s="252"/>
      <c r="L210" s="11">
        <f t="shared" si="36"/>
        <v>12238.098000000002</v>
      </c>
    </row>
    <row r="211" spans="1:12" outlineLevel="2">
      <c r="A211" s="386"/>
      <c r="B211" s="47" t="s">
        <v>36</v>
      </c>
      <c r="C211" s="251"/>
      <c r="D211" s="251"/>
      <c r="E211" s="251"/>
      <c r="F211" s="252"/>
      <c r="G211" s="252">
        <v>1068.6500000000001</v>
      </c>
      <c r="H211" s="252">
        <v>1255.5840000000001</v>
      </c>
      <c r="I211" s="252">
        <v>1344.672</v>
      </c>
      <c r="J211" s="252">
        <v>1440.3720000000001</v>
      </c>
      <c r="K211" s="252"/>
      <c r="L211" s="11">
        <f t="shared" si="36"/>
        <v>5109.2780000000002</v>
      </c>
    </row>
    <row r="212" spans="1:12" outlineLevel="2">
      <c r="A212" s="386"/>
      <c r="B212" s="47" t="s">
        <v>31</v>
      </c>
      <c r="C212" s="251"/>
      <c r="D212" s="251"/>
      <c r="E212" s="251"/>
      <c r="F212" s="252">
        <v>4479.28</v>
      </c>
      <c r="G212" s="252">
        <v>11748.45</v>
      </c>
      <c r="H212" s="252">
        <v>12653.255999999999</v>
      </c>
      <c r="I212" s="252">
        <v>13551.048000000001</v>
      </c>
      <c r="J212" s="252">
        <v>14515.473</v>
      </c>
      <c r="K212" s="252"/>
      <c r="L212" s="11">
        <f t="shared" si="36"/>
        <v>52468.226999999999</v>
      </c>
    </row>
    <row r="213" spans="1:12" ht="31.5" outlineLevel="2">
      <c r="A213" s="386"/>
      <c r="B213" s="47" t="s">
        <v>32</v>
      </c>
      <c r="C213" s="251"/>
      <c r="D213" s="251"/>
      <c r="E213" s="251"/>
      <c r="F213" s="252">
        <v>383.5</v>
      </c>
      <c r="G213" s="252">
        <v>1685.05</v>
      </c>
      <c r="H213" s="252">
        <v>1832.864</v>
      </c>
      <c r="I213" s="252">
        <v>1962.912</v>
      </c>
      <c r="J213" s="252">
        <v>2102.6120000000001</v>
      </c>
      <c r="K213" s="252"/>
      <c r="L213" s="11">
        <f t="shared" si="36"/>
        <v>7583.4380000000001</v>
      </c>
    </row>
    <row r="214" spans="1:12" outlineLevel="2">
      <c r="A214" s="386"/>
      <c r="B214" s="47" t="s">
        <v>33</v>
      </c>
      <c r="C214" s="251"/>
      <c r="D214" s="251"/>
      <c r="E214" s="251"/>
      <c r="F214" s="252"/>
      <c r="G214" s="252"/>
      <c r="H214" s="252"/>
      <c r="I214" s="252"/>
      <c r="J214" s="252"/>
      <c r="K214" s="252"/>
      <c r="L214" s="11">
        <f t="shared" si="36"/>
        <v>0</v>
      </c>
    </row>
    <row r="215" spans="1:12" outlineLevel="2">
      <c r="A215" s="386"/>
      <c r="B215" s="47" t="s">
        <v>34</v>
      </c>
      <c r="C215" s="251"/>
      <c r="D215" s="251"/>
      <c r="E215" s="251"/>
      <c r="F215" s="252"/>
      <c r="G215" s="252"/>
      <c r="H215" s="252"/>
      <c r="I215" s="252"/>
      <c r="J215" s="252"/>
      <c r="K215" s="252"/>
      <c r="L215" s="11">
        <f t="shared" si="36"/>
        <v>0</v>
      </c>
    </row>
    <row r="216" spans="1:12" outlineLevel="2">
      <c r="A216" s="386"/>
      <c r="B216" s="47" t="s">
        <v>146</v>
      </c>
      <c r="C216" s="251"/>
      <c r="D216" s="251"/>
      <c r="E216" s="251"/>
      <c r="F216" s="252">
        <v>119.652</v>
      </c>
      <c r="G216" s="252">
        <v>257.95</v>
      </c>
      <c r="H216" s="252">
        <v>277.81599999999997</v>
      </c>
      <c r="I216" s="252">
        <v>297.52800000000002</v>
      </c>
      <c r="J216" s="252">
        <v>318.70299999999997</v>
      </c>
      <c r="K216" s="252"/>
      <c r="L216" s="11">
        <f t="shared" si="36"/>
        <v>1151.9969999999998</v>
      </c>
    </row>
    <row r="217" spans="1:12" outlineLevel="2">
      <c r="A217" s="386"/>
      <c r="B217" s="177" t="s">
        <v>18</v>
      </c>
      <c r="C217" s="177">
        <f t="shared" ref="C217:E217" si="37">SUM(C200:C216)</f>
        <v>0</v>
      </c>
      <c r="D217" s="177">
        <f t="shared" si="37"/>
        <v>0</v>
      </c>
      <c r="E217" s="177">
        <f t="shared" si="37"/>
        <v>0</v>
      </c>
      <c r="F217" s="177">
        <f>SUM(F200:F216)</f>
        <v>59675.667999999998</v>
      </c>
      <c r="G217" s="177">
        <f t="shared" ref="G217:K217" si="38">SUM(G200:G216)</f>
        <v>96235.45</v>
      </c>
      <c r="H217" s="177">
        <f t="shared" si="38"/>
        <v>103769.68800000001</v>
      </c>
      <c r="I217" s="177">
        <f t="shared" si="38"/>
        <v>111132.504</v>
      </c>
      <c r="J217" s="177">
        <f t="shared" si="38"/>
        <v>119041.77899999999</v>
      </c>
      <c r="K217" s="177">
        <f t="shared" si="38"/>
        <v>0</v>
      </c>
      <c r="L217" s="173">
        <f>SUM(L200:L216)</f>
        <v>430179.42100000003</v>
      </c>
    </row>
    <row r="218" spans="1:12" ht="18.75" outlineLevel="2">
      <c r="A218" s="386"/>
      <c r="B218" s="424" t="s">
        <v>218</v>
      </c>
      <c r="C218" s="425"/>
      <c r="D218" s="425"/>
      <c r="E218" s="425"/>
      <c r="F218" s="425"/>
      <c r="G218" s="425"/>
      <c r="H218" s="425"/>
      <c r="I218" s="425"/>
      <c r="J218" s="425"/>
      <c r="K218" s="425"/>
      <c r="L218" s="426"/>
    </row>
    <row r="219" spans="1:12" outlineLevel="2">
      <c r="A219" s="386"/>
      <c r="B219" s="47" t="s">
        <v>16</v>
      </c>
      <c r="C219" s="251"/>
      <c r="D219" s="251"/>
      <c r="E219" s="143">
        <v>7934.982</v>
      </c>
      <c r="F219" s="143">
        <v>7934.982</v>
      </c>
      <c r="G219" s="143">
        <v>7934.982</v>
      </c>
      <c r="H219" s="143">
        <v>7934.982</v>
      </c>
      <c r="I219" s="143">
        <v>7934.982</v>
      </c>
      <c r="J219" s="143">
        <v>7934.982</v>
      </c>
      <c r="K219" s="143"/>
      <c r="L219" s="11">
        <f t="shared" ref="L219:L235" si="39">SUM(G219:K219)</f>
        <v>31739.928</v>
      </c>
    </row>
    <row r="220" spans="1:12" ht="31.5" outlineLevel="2">
      <c r="A220" s="386"/>
      <c r="B220" s="47" t="s">
        <v>137</v>
      </c>
      <c r="C220" s="251"/>
      <c r="D220" s="251"/>
      <c r="E220" s="143">
        <v>6126.3119999999999</v>
      </c>
      <c r="F220" s="143">
        <v>6126.3119999999999</v>
      </c>
      <c r="G220" s="143">
        <v>6126.3119999999999</v>
      </c>
      <c r="H220" s="143">
        <v>6126.3119999999999</v>
      </c>
      <c r="I220" s="143">
        <v>6126.3119999999999</v>
      </c>
      <c r="J220" s="143">
        <v>6126.3119999999999</v>
      </c>
      <c r="K220" s="143"/>
      <c r="L220" s="11">
        <f t="shared" si="39"/>
        <v>24505.248</v>
      </c>
    </row>
    <row r="221" spans="1:12" outlineLevel="2">
      <c r="A221" s="386"/>
      <c r="B221" s="47" t="s">
        <v>5</v>
      </c>
      <c r="C221" s="251"/>
      <c r="D221" s="251"/>
      <c r="E221" s="143">
        <v>1045.0039999999999</v>
      </c>
      <c r="F221" s="143">
        <v>1045.0039999999999</v>
      </c>
      <c r="G221" s="143">
        <v>1045.0039999999999</v>
      </c>
      <c r="H221" s="143">
        <v>1045.0039999999999</v>
      </c>
      <c r="I221" s="143">
        <v>1045.0039999999999</v>
      </c>
      <c r="J221" s="143">
        <v>1045.0039999999999</v>
      </c>
      <c r="K221" s="143"/>
      <c r="L221" s="11">
        <f t="shared" si="39"/>
        <v>4180.0159999999996</v>
      </c>
    </row>
    <row r="222" spans="1:12" outlineLevel="2">
      <c r="A222" s="386"/>
      <c r="B222" s="47" t="s">
        <v>7</v>
      </c>
      <c r="C222" s="251"/>
      <c r="D222" s="251"/>
      <c r="E222" s="143">
        <v>517.77200000000005</v>
      </c>
      <c r="F222" s="143">
        <v>517.77200000000005</v>
      </c>
      <c r="G222" s="143">
        <v>517.77200000000005</v>
      </c>
      <c r="H222" s="143">
        <v>517.77200000000005</v>
      </c>
      <c r="I222" s="143">
        <v>517.77200000000005</v>
      </c>
      <c r="J222" s="143">
        <v>517.77200000000005</v>
      </c>
      <c r="K222" s="143"/>
      <c r="L222" s="11">
        <f t="shared" si="39"/>
        <v>2071.0880000000002</v>
      </c>
    </row>
    <row r="223" spans="1:12" outlineLevel="2">
      <c r="A223" s="386"/>
      <c r="B223" s="47" t="s">
        <v>8</v>
      </c>
      <c r="C223" s="251"/>
      <c r="D223" s="251"/>
      <c r="E223" s="143">
        <v>517.77200000000005</v>
      </c>
      <c r="F223" s="143">
        <v>517.77200000000005</v>
      </c>
      <c r="G223" s="143">
        <v>517.77200000000005</v>
      </c>
      <c r="H223" s="143">
        <v>517.77200000000005</v>
      </c>
      <c r="I223" s="143">
        <v>517.77200000000005</v>
      </c>
      <c r="J223" s="143">
        <v>517.77200000000005</v>
      </c>
      <c r="K223" s="143"/>
      <c r="L223" s="11">
        <f t="shared" si="39"/>
        <v>2071.0880000000002</v>
      </c>
    </row>
    <row r="224" spans="1:12" outlineLevel="2">
      <c r="A224" s="386"/>
      <c r="B224" s="47" t="s">
        <v>9</v>
      </c>
      <c r="C224" s="251"/>
      <c r="D224" s="251"/>
      <c r="E224" s="143">
        <v>517.77200000000005</v>
      </c>
      <c r="F224" s="143">
        <v>517.77200000000005</v>
      </c>
      <c r="G224" s="143">
        <v>517.77200000000005</v>
      </c>
      <c r="H224" s="143">
        <v>517.77200000000005</v>
      </c>
      <c r="I224" s="143">
        <v>517.77200000000005</v>
      </c>
      <c r="J224" s="143">
        <v>517.77200000000005</v>
      </c>
      <c r="K224" s="143"/>
      <c r="L224" s="11">
        <f t="shared" si="39"/>
        <v>2071.0880000000002</v>
      </c>
    </row>
    <row r="225" spans="1:12" outlineLevel="2">
      <c r="A225" s="386"/>
      <c r="B225" s="47" t="s">
        <v>140</v>
      </c>
      <c r="C225" s="251"/>
      <c r="D225" s="251"/>
      <c r="E225" s="143">
        <v>1148.559</v>
      </c>
      <c r="F225" s="143">
        <v>1148.559</v>
      </c>
      <c r="G225" s="143">
        <v>1148.559</v>
      </c>
      <c r="H225" s="143">
        <v>1148.559</v>
      </c>
      <c r="I225" s="143">
        <v>1148.559</v>
      </c>
      <c r="J225" s="143">
        <v>1148.559</v>
      </c>
      <c r="K225" s="143"/>
      <c r="L225" s="11">
        <f t="shared" si="39"/>
        <v>4594.2359999999999</v>
      </c>
    </row>
    <row r="226" spans="1:12" outlineLevel="2">
      <c r="A226" s="386"/>
      <c r="B226" s="47" t="s">
        <v>11</v>
      </c>
      <c r="C226" s="251"/>
      <c r="D226" s="251"/>
      <c r="E226" s="143">
        <v>517.77200000000005</v>
      </c>
      <c r="F226" s="143">
        <v>517.77200000000005</v>
      </c>
      <c r="G226" s="143">
        <v>517.77200000000005</v>
      </c>
      <c r="H226" s="143">
        <v>517.77200000000005</v>
      </c>
      <c r="I226" s="143">
        <v>517.77200000000005</v>
      </c>
      <c r="J226" s="143">
        <v>517.77200000000005</v>
      </c>
      <c r="K226" s="143"/>
      <c r="L226" s="11">
        <f t="shared" si="39"/>
        <v>2071.0880000000002</v>
      </c>
    </row>
    <row r="227" spans="1:12" outlineLevel="2">
      <c r="A227" s="386"/>
      <c r="B227" s="47" t="s">
        <v>12</v>
      </c>
      <c r="C227" s="251"/>
      <c r="D227" s="251"/>
      <c r="E227" s="143">
        <v>1045.0039999999999</v>
      </c>
      <c r="F227" s="143">
        <v>1045.0039999999999</v>
      </c>
      <c r="G227" s="143">
        <v>1045.0039999999999</v>
      </c>
      <c r="H227" s="143">
        <v>1045.0039999999999</v>
      </c>
      <c r="I227" s="143">
        <v>1045.0039999999999</v>
      </c>
      <c r="J227" s="143">
        <v>1045.0039999999999</v>
      </c>
      <c r="K227" s="143"/>
      <c r="L227" s="11">
        <f t="shared" si="39"/>
        <v>4180.0159999999996</v>
      </c>
    </row>
    <row r="228" spans="1:12" outlineLevel="2">
      <c r="A228" s="386"/>
      <c r="B228" s="47" t="s">
        <v>144</v>
      </c>
      <c r="C228" s="251"/>
      <c r="D228" s="251"/>
      <c r="E228" s="143">
        <v>3612.5070000000001</v>
      </c>
      <c r="F228" s="143">
        <v>3612.5070000000001</v>
      </c>
      <c r="G228" s="143">
        <v>3612.5070000000001</v>
      </c>
      <c r="H228" s="143">
        <v>3612.5070000000001</v>
      </c>
      <c r="I228" s="143">
        <v>3612.5070000000001</v>
      </c>
      <c r="J228" s="143">
        <v>3612.5070000000001</v>
      </c>
      <c r="K228" s="143"/>
      <c r="L228" s="11">
        <f t="shared" si="39"/>
        <v>14450.028</v>
      </c>
    </row>
    <row r="229" spans="1:12" outlineLevel="2">
      <c r="A229" s="386"/>
      <c r="B229" s="47" t="s">
        <v>14</v>
      </c>
      <c r="C229" s="251"/>
      <c r="D229" s="251"/>
      <c r="E229" s="143">
        <v>1045.0039999999999</v>
      </c>
      <c r="F229" s="143">
        <v>1045.0039999999999</v>
      </c>
      <c r="G229" s="143">
        <v>1045.0039999999999</v>
      </c>
      <c r="H229" s="143">
        <v>1045.0039999999999</v>
      </c>
      <c r="I229" s="143">
        <v>1045.0039999999999</v>
      </c>
      <c r="J229" s="143">
        <v>1045.0039999999999</v>
      </c>
      <c r="K229" s="143"/>
      <c r="L229" s="11">
        <f t="shared" si="39"/>
        <v>4180.0159999999996</v>
      </c>
    </row>
    <row r="230" spans="1:12" outlineLevel="2">
      <c r="A230" s="386"/>
      <c r="B230" s="47" t="s">
        <v>36</v>
      </c>
      <c r="C230" s="251"/>
      <c r="D230" s="251"/>
      <c r="E230" s="253" t="s">
        <v>6</v>
      </c>
      <c r="F230" s="253" t="s">
        <v>6</v>
      </c>
      <c r="G230" s="253" t="s">
        <v>6</v>
      </c>
      <c r="H230" s="253" t="s">
        <v>6</v>
      </c>
      <c r="I230" s="253" t="s">
        <v>6</v>
      </c>
      <c r="J230" s="253" t="s">
        <v>6</v>
      </c>
      <c r="K230" s="253"/>
      <c r="L230" s="11">
        <f t="shared" si="39"/>
        <v>0</v>
      </c>
    </row>
    <row r="231" spans="1:12" outlineLevel="2">
      <c r="A231" s="386"/>
      <c r="B231" s="47" t="s">
        <v>31</v>
      </c>
      <c r="C231" s="251"/>
      <c r="D231" s="251"/>
      <c r="E231" s="143">
        <v>3403.5059999999999</v>
      </c>
      <c r="F231" s="143">
        <v>3403.5059999999999</v>
      </c>
      <c r="G231" s="143">
        <v>3403.5059999999999</v>
      </c>
      <c r="H231" s="143">
        <v>3403.5059999999999</v>
      </c>
      <c r="I231" s="143">
        <v>3403.5059999999999</v>
      </c>
      <c r="J231" s="143">
        <v>3403.5059999999999</v>
      </c>
      <c r="K231" s="143"/>
      <c r="L231" s="11">
        <f t="shared" si="39"/>
        <v>13614.023999999999</v>
      </c>
    </row>
    <row r="232" spans="1:12" ht="31.5" outlineLevel="2">
      <c r="A232" s="386"/>
      <c r="B232" s="47" t="s">
        <v>32</v>
      </c>
      <c r="C232" s="251"/>
      <c r="D232" s="251"/>
      <c r="E232" s="143">
        <v>3403.5059999999999</v>
      </c>
      <c r="F232" s="143">
        <v>3403.5059999999999</v>
      </c>
      <c r="G232" s="143">
        <v>3403.5059999999999</v>
      </c>
      <c r="H232" s="143">
        <v>3403.5059999999999</v>
      </c>
      <c r="I232" s="143">
        <v>3403.5059999999999</v>
      </c>
      <c r="J232" s="143">
        <v>3403.5059999999999</v>
      </c>
      <c r="K232" s="143"/>
      <c r="L232" s="11">
        <f t="shared" si="39"/>
        <v>13614.023999999999</v>
      </c>
    </row>
    <row r="233" spans="1:12" outlineLevel="2">
      <c r="A233" s="386"/>
      <c r="B233" s="47" t="s">
        <v>33</v>
      </c>
      <c r="C233" s="251"/>
      <c r="D233" s="251"/>
      <c r="E233" s="253" t="s">
        <v>6</v>
      </c>
      <c r="F233" s="253" t="s">
        <v>6</v>
      </c>
      <c r="G233" s="253" t="s">
        <v>6</v>
      </c>
      <c r="H233" s="253" t="s">
        <v>6</v>
      </c>
      <c r="I233" s="253" t="s">
        <v>6</v>
      </c>
      <c r="J233" s="253" t="s">
        <v>6</v>
      </c>
      <c r="K233" s="253"/>
      <c r="L233" s="11">
        <f t="shared" si="39"/>
        <v>0</v>
      </c>
    </row>
    <row r="234" spans="1:12" outlineLevel="2">
      <c r="A234" s="386"/>
      <c r="B234" s="47" t="s">
        <v>34</v>
      </c>
      <c r="C234" s="251"/>
      <c r="D234" s="251"/>
      <c r="E234" s="253" t="s">
        <v>6</v>
      </c>
      <c r="F234" s="253" t="s">
        <v>6</v>
      </c>
      <c r="G234" s="253" t="s">
        <v>6</v>
      </c>
      <c r="H234" s="253" t="s">
        <v>6</v>
      </c>
      <c r="I234" s="253" t="s">
        <v>6</v>
      </c>
      <c r="J234" s="253" t="s">
        <v>6</v>
      </c>
      <c r="K234" s="253"/>
      <c r="L234" s="11">
        <f t="shared" si="39"/>
        <v>0</v>
      </c>
    </row>
    <row r="235" spans="1:12" outlineLevel="2">
      <c r="A235" s="386"/>
      <c r="B235" s="47" t="s">
        <v>146</v>
      </c>
      <c r="C235" s="251"/>
      <c r="D235" s="251"/>
      <c r="E235" s="143">
        <v>9</v>
      </c>
      <c r="F235" s="143">
        <v>9</v>
      </c>
      <c r="G235" s="143">
        <v>9</v>
      </c>
      <c r="H235" s="143">
        <v>9</v>
      </c>
      <c r="I235" s="143">
        <v>9</v>
      </c>
      <c r="J235" s="143">
        <v>9</v>
      </c>
      <c r="K235" s="143"/>
      <c r="L235" s="11">
        <f t="shared" si="39"/>
        <v>36</v>
      </c>
    </row>
    <row r="236" spans="1:12" outlineLevel="2">
      <c r="A236" s="386"/>
      <c r="B236" s="177" t="s">
        <v>18</v>
      </c>
      <c r="C236" s="177"/>
      <c r="D236" s="177"/>
      <c r="E236" s="177">
        <f>SUM(E219:E235)</f>
        <v>30844.472000000009</v>
      </c>
      <c r="F236" s="177">
        <f t="shared" ref="F236:K236" si="40">SUM(F219:F235)</f>
        <v>30844.472000000009</v>
      </c>
      <c r="G236" s="177">
        <f t="shared" si="40"/>
        <v>30844.472000000009</v>
      </c>
      <c r="H236" s="177">
        <f t="shared" si="40"/>
        <v>30844.472000000009</v>
      </c>
      <c r="I236" s="177">
        <f t="shared" si="40"/>
        <v>30844.472000000009</v>
      </c>
      <c r="J236" s="177">
        <f t="shared" si="40"/>
        <v>30844.472000000009</v>
      </c>
      <c r="K236" s="177">
        <f t="shared" si="40"/>
        <v>0</v>
      </c>
      <c r="L236" s="177">
        <f>SUM(L219:L235)</f>
        <v>123377.88800000004</v>
      </c>
    </row>
    <row r="237" spans="1:12" ht="33" customHeight="1">
      <c r="A237" s="386">
        <v>14</v>
      </c>
      <c r="B237" s="414" t="s">
        <v>219</v>
      </c>
      <c r="C237" s="414"/>
      <c r="D237" s="414"/>
      <c r="E237" s="415"/>
      <c r="F237" s="415"/>
      <c r="G237" s="415"/>
      <c r="H237" s="415"/>
      <c r="I237" s="415"/>
      <c r="J237" s="415"/>
      <c r="K237" s="415"/>
      <c r="L237" s="415"/>
    </row>
    <row r="238" spans="1:12" ht="13.5" customHeight="1" outlineLevel="1">
      <c r="A238" s="386"/>
      <c r="B238" s="16" t="s">
        <v>16</v>
      </c>
      <c r="C238" s="162">
        <v>0</v>
      </c>
      <c r="D238" s="162">
        <v>0</v>
      </c>
      <c r="E238" s="179"/>
      <c r="F238" s="179"/>
      <c r="G238" s="44"/>
      <c r="H238" s="44"/>
      <c r="I238" s="44"/>
      <c r="J238" s="44"/>
      <c r="K238" s="44"/>
      <c r="L238" s="11">
        <f t="shared" ref="L238:L253" si="41">SUM(G238:K238)</f>
        <v>0</v>
      </c>
    </row>
    <row r="239" spans="1:12" ht="13.5" customHeight="1" outlineLevel="1">
      <c r="A239" s="386"/>
      <c r="B239" s="17" t="s">
        <v>4</v>
      </c>
      <c r="C239" s="162">
        <v>0</v>
      </c>
      <c r="D239" s="162">
        <v>0</v>
      </c>
      <c r="E239" s="179"/>
      <c r="F239" s="179"/>
      <c r="G239" s="44"/>
      <c r="H239" s="44"/>
      <c r="I239" s="44"/>
      <c r="J239" s="44"/>
      <c r="K239" s="44"/>
      <c r="L239" s="11">
        <f t="shared" si="41"/>
        <v>0</v>
      </c>
    </row>
    <row r="240" spans="1:12" ht="13.5" customHeight="1" outlineLevel="1">
      <c r="A240" s="386"/>
      <c r="B240" s="17" t="s">
        <v>5</v>
      </c>
      <c r="C240" s="162">
        <v>0</v>
      </c>
      <c r="D240" s="162">
        <v>0</v>
      </c>
      <c r="E240" s="179"/>
      <c r="F240" s="179"/>
      <c r="G240" s="44"/>
      <c r="H240" s="44"/>
      <c r="I240" s="44"/>
      <c r="J240" s="44"/>
      <c r="K240" s="44"/>
      <c r="L240" s="11">
        <f t="shared" si="41"/>
        <v>0</v>
      </c>
    </row>
    <row r="241" spans="1:12" ht="13.5" customHeight="1" outlineLevel="1">
      <c r="A241" s="386"/>
      <c r="B241" s="17" t="s">
        <v>7</v>
      </c>
      <c r="C241" s="162">
        <v>0</v>
      </c>
      <c r="D241" s="162">
        <v>0</v>
      </c>
      <c r="E241" s="179"/>
      <c r="F241" s="179"/>
      <c r="G241" s="44"/>
      <c r="H241" s="44"/>
      <c r="I241" s="44"/>
      <c r="J241" s="44"/>
      <c r="K241" s="44"/>
      <c r="L241" s="11">
        <f t="shared" si="41"/>
        <v>0</v>
      </c>
    </row>
    <row r="242" spans="1:12" ht="13.5" customHeight="1" outlineLevel="1">
      <c r="A242" s="386"/>
      <c r="B242" s="17" t="s">
        <v>8</v>
      </c>
      <c r="C242" s="162">
        <v>0</v>
      </c>
      <c r="D242" s="162">
        <v>0</v>
      </c>
      <c r="E242" s="179"/>
      <c r="F242" s="179"/>
      <c r="G242" s="44"/>
      <c r="H242" s="44"/>
      <c r="I242" s="44"/>
      <c r="J242" s="44"/>
      <c r="K242" s="44"/>
      <c r="L242" s="11">
        <f t="shared" si="41"/>
        <v>0</v>
      </c>
    </row>
    <row r="243" spans="1:12" ht="13.5" customHeight="1" outlineLevel="1">
      <c r="A243" s="386"/>
      <c r="B243" s="17" t="s">
        <v>9</v>
      </c>
      <c r="C243" s="162">
        <v>0</v>
      </c>
      <c r="D243" s="162">
        <v>0</v>
      </c>
      <c r="E243" s="179"/>
      <c r="F243" s="179"/>
      <c r="G243" s="44"/>
      <c r="H243" s="44"/>
      <c r="I243" s="44"/>
      <c r="J243" s="44"/>
      <c r="K243" s="44"/>
      <c r="L243" s="11">
        <f t="shared" si="41"/>
        <v>0</v>
      </c>
    </row>
    <row r="244" spans="1:12" ht="13.5" customHeight="1" outlineLevel="1">
      <c r="A244" s="386"/>
      <c r="B244" s="17" t="s">
        <v>10</v>
      </c>
      <c r="C244" s="162">
        <v>0</v>
      </c>
      <c r="D244" s="162">
        <v>0</v>
      </c>
      <c r="E244" s="179"/>
      <c r="F244" s="179"/>
      <c r="G244" s="44"/>
      <c r="H244" s="44"/>
      <c r="I244" s="44"/>
      <c r="J244" s="44"/>
      <c r="K244" s="44"/>
      <c r="L244" s="11">
        <f t="shared" si="41"/>
        <v>0</v>
      </c>
    </row>
    <row r="245" spans="1:12" ht="13.5" customHeight="1" outlineLevel="1">
      <c r="A245" s="386"/>
      <c r="B245" s="17" t="s">
        <v>11</v>
      </c>
      <c r="C245" s="162">
        <v>0</v>
      </c>
      <c r="D245" s="162">
        <v>0</v>
      </c>
      <c r="E245" s="179"/>
      <c r="F245" s="179"/>
      <c r="G245" s="44"/>
      <c r="H245" s="44"/>
      <c r="I245" s="44"/>
      <c r="J245" s="44"/>
      <c r="K245" s="44"/>
      <c r="L245" s="11">
        <f t="shared" si="41"/>
        <v>0</v>
      </c>
    </row>
    <row r="246" spans="1:12" ht="13.5" customHeight="1" outlineLevel="1">
      <c r="A246" s="386"/>
      <c r="B246" s="17" t="s">
        <v>12</v>
      </c>
      <c r="C246" s="162">
        <v>0</v>
      </c>
      <c r="D246" s="162">
        <v>0</v>
      </c>
      <c r="E246" s="179"/>
      <c r="F246" s="179"/>
      <c r="G246" s="44"/>
      <c r="H246" s="44"/>
      <c r="I246" s="44"/>
      <c r="J246" s="44"/>
      <c r="K246" s="44"/>
      <c r="L246" s="11">
        <f t="shared" si="41"/>
        <v>0</v>
      </c>
    </row>
    <row r="247" spans="1:12" ht="13.5" customHeight="1" outlineLevel="1">
      <c r="A247" s="386"/>
      <c r="B247" s="17" t="s">
        <v>13</v>
      </c>
      <c r="C247" s="162">
        <v>0</v>
      </c>
      <c r="D247" s="162">
        <v>0</v>
      </c>
      <c r="E247" s="179"/>
      <c r="F247" s="179"/>
      <c r="G247" s="44"/>
      <c r="H247" s="44"/>
      <c r="I247" s="44"/>
      <c r="J247" s="44"/>
      <c r="K247" s="44"/>
      <c r="L247" s="11">
        <f t="shared" si="41"/>
        <v>0</v>
      </c>
    </row>
    <row r="248" spans="1:12" ht="13.5" customHeight="1" outlineLevel="1">
      <c r="A248" s="386"/>
      <c r="B248" s="17" t="s">
        <v>14</v>
      </c>
      <c r="C248" s="162">
        <v>0</v>
      </c>
      <c r="D248" s="162">
        <v>0</v>
      </c>
      <c r="E248" s="179"/>
      <c r="F248" s="179"/>
      <c r="G248" s="44"/>
      <c r="H248" s="44"/>
      <c r="I248" s="44"/>
      <c r="J248" s="44"/>
      <c r="K248" s="44"/>
      <c r="L248" s="11">
        <f t="shared" si="41"/>
        <v>0</v>
      </c>
    </row>
    <row r="249" spans="1:12" ht="13.5" customHeight="1" outlineLevel="1">
      <c r="A249" s="386"/>
      <c r="B249" s="17" t="s">
        <v>36</v>
      </c>
      <c r="C249" s="162">
        <v>0</v>
      </c>
      <c r="D249" s="162">
        <v>0</v>
      </c>
      <c r="E249" s="179"/>
      <c r="F249" s="179"/>
      <c r="G249" s="44"/>
      <c r="H249" s="44"/>
      <c r="I249" s="44"/>
      <c r="J249" s="44"/>
      <c r="K249" s="44"/>
      <c r="L249" s="11">
        <f t="shared" si="41"/>
        <v>0</v>
      </c>
    </row>
    <row r="250" spans="1:12" ht="13.5" customHeight="1" outlineLevel="1">
      <c r="A250" s="386"/>
      <c r="B250" s="17" t="s">
        <v>31</v>
      </c>
      <c r="C250" s="162">
        <v>0</v>
      </c>
      <c r="D250" s="162">
        <v>0</v>
      </c>
      <c r="E250" s="179"/>
      <c r="F250" s="179"/>
      <c r="G250" s="44"/>
      <c r="H250" s="44"/>
      <c r="I250" s="44"/>
      <c r="J250" s="44"/>
      <c r="K250" s="44"/>
      <c r="L250" s="11">
        <f t="shared" si="41"/>
        <v>0</v>
      </c>
    </row>
    <row r="251" spans="1:12" ht="13.5" customHeight="1" outlineLevel="1">
      <c r="A251" s="386"/>
      <c r="B251" s="17" t="s">
        <v>32</v>
      </c>
      <c r="C251" s="162">
        <v>0</v>
      </c>
      <c r="D251" s="162">
        <v>0</v>
      </c>
      <c r="E251" s="179"/>
      <c r="F251" s="179"/>
      <c r="G251" s="44"/>
      <c r="H251" s="44"/>
      <c r="I251" s="44"/>
      <c r="J251" s="44"/>
      <c r="K251" s="44"/>
      <c r="L251" s="11">
        <f t="shared" si="41"/>
        <v>0</v>
      </c>
    </row>
    <row r="252" spans="1:12" ht="13.5" customHeight="1" outlineLevel="1">
      <c r="A252" s="386"/>
      <c r="B252" s="17" t="s">
        <v>33</v>
      </c>
      <c r="C252" s="162">
        <v>0</v>
      </c>
      <c r="D252" s="162">
        <v>0</v>
      </c>
      <c r="E252" s="179"/>
      <c r="F252" s="179"/>
      <c r="G252" s="44"/>
      <c r="H252" s="44"/>
      <c r="I252" s="44"/>
      <c r="J252" s="44"/>
      <c r="K252" s="44"/>
      <c r="L252" s="11">
        <f t="shared" si="41"/>
        <v>0</v>
      </c>
    </row>
    <row r="253" spans="1:12" ht="13.5" customHeight="1" outlineLevel="1">
      <c r="A253" s="386"/>
      <c r="B253" s="17" t="s">
        <v>34</v>
      </c>
      <c r="C253" s="162">
        <v>0</v>
      </c>
      <c r="D253" s="162">
        <v>0</v>
      </c>
      <c r="E253" s="179"/>
      <c r="F253" s="179"/>
      <c r="G253" s="44"/>
      <c r="H253" s="44"/>
      <c r="I253" s="44"/>
      <c r="J253" s="44"/>
      <c r="K253" s="44"/>
      <c r="L253" s="11">
        <f t="shared" si="41"/>
        <v>0</v>
      </c>
    </row>
    <row r="254" spans="1:12" ht="13.5" customHeight="1" outlineLevel="1">
      <c r="A254" s="386"/>
      <c r="B254" s="10" t="s">
        <v>18</v>
      </c>
      <c r="C254" s="11">
        <f t="shared" ref="C254:L254" si="42">SUM(C238:C253)</f>
        <v>0</v>
      </c>
      <c r="D254" s="11">
        <f t="shared" si="42"/>
        <v>0</v>
      </c>
      <c r="E254" s="11">
        <f t="shared" si="42"/>
        <v>0</v>
      </c>
      <c r="F254" s="11">
        <f t="shared" si="42"/>
        <v>0</v>
      </c>
      <c r="G254" s="11">
        <f t="shared" si="42"/>
        <v>0</v>
      </c>
      <c r="H254" s="11">
        <f t="shared" si="42"/>
        <v>0</v>
      </c>
      <c r="I254" s="11">
        <f t="shared" si="42"/>
        <v>0</v>
      </c>
      <c r="J254" s="11">
        <f t="shared" si="42"/>
        <v>0</v>
      </c>
      <c r="K254" s="11">
        <f t="shared" si="42"/>
        <v>0</v>
      </c>
      <c r="L254" s="11">
        <f t="shared" si="42"/>
        <v>0</v>
      </c>
    </row>
  </sheetData>
  <mergeCells count="38">
    <mergeCell ref="A198:A236"/>
    <mergeCell ref="B198:L198"/>
    <mergeCell ref="B199:L199"/>
    <mergeCell ref="B218:L218"/>
    <mergeCell ref="A237:A254"/>
    <mergeCell ref="B237:L237"/>
    <mergeCell ref="A169:A181"/>
    <mergeCell ref="B169:L169"/>
    <mergeCell ref="B182:L182"/>
    <mergeCell ref="A185:A197"/>
    <mergeCell ref="B185:L185"/>
    <mergeCell ref="A143:A154"/>
    <mergeCell ref="B143:L143"/>
    <mergeCell ref="B155:L155"/>
    <mergeCell ref="A156:A168"/>
    <mergeCell ref="B156:L156"/>
    <mergeCell ref="A104:A116"/>
    <mergeCell ref="B104:L104"/>
    <mergeCell ref="A117:A129"/>
    <mergeCell ref="B117:L117"/>
    <mergeCell ref="A130:A142"/>
    <mergeCell ref="B130:L130"/>
    <mergeCell ref="B75:L75"/>
    <mergeCell ref="A79:A91"/>
    <mergeCell ref="B79:L79"/>
    <mergeCell ref="A92:A103"/>
    <mergeCell ref="B92:L92"/>
    <mergeCell ref="B41:L41"/>
    <mergeCell ref="A43:A54"/>
    <mergeCell ref="B43:L43"/>
    <mergeCell ref="A55:A74"/>
    <mergeCell ref="B55:L55"/>
    <mergeCell ref="A5:L12"/>
    <mergeCell ref="A13:B13"/>
    <mergeCell ref="A14:A26"/>
    <mergeCell ref="B14:L14"/>
    <mergeCell ref="A27:A40"/>
    <mergeCell ref="B27:L27"/>
  </mergeCells>
  <pageMargins left="0" right="0" top="0" bottom="0" header="0.31496062992125984" footer="0.31496062992125984"/>
  <pageSetup paperSize="9" scale="58" fitToHeight="4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6"/>
  <sheetViews>
    <sheetView topLeftCell="A16" zoomScale="71" workbookViewId="0">
      <selection activeCell="C52" sqref="C52"/>
    </sheetView>
  </sheetViews>
  <sheetFormatPr defaultColWidth="8.85546875" defaultRowHeight="15"/>
  <cols>
    <col min="1" max="1" width="80.42578125" style="135" bestFit="1" customWidth="1"/>
    <col min="2" max="2" width="18.85546875" customWidth="1"/>
    <col min="3" max="3" width="18.28515625" bestFit="1" customWidth="1"/>
    <col min="4" max="4" width="19.7109375" customWidth="1"/>
    <col min="5" max="5" width="19.42578125" customWidth="1"/>
    <col min="6" max="6" width="24" customWidth="1"/>
    <col min="7" max="8" width="19.42578125" bestFit="1" customWidth="1"/>
  </cols>
  <sheetData>
    <row r="1" spans="1:8" ht="47.25" customHeight="1">
      <c r="A1" s="374" t="s">
        <v>220</v>
      </c>
      <c r="B1" s="375"/>
      <c r="C1" s="375"/>
      <c r="D1" s="375"/>
      <c r="E1" s="375"/>
      <c r="F1" s="375"/>
      <c r="G1" s="375"/>
      <c r="H1" s="376"/>
    </row>
    <row r="2" spans="1:8" ht="18.75">
      <c r="A2" s="82"/>
      <c r="B2" s="35"/>
      <c r="C2" s="35">
        <v>2023</v>
      </c>
      <c r="D2" s="35">
        <v>2024</v>
      </c>
      <c r="E2" s="38">
        <v>2025</v>
      </c>
      <c r="F2" s="38">
        <v>2026</v>
      </c>
      <c r="G2" s="38">
        <v>2027</v>
      </c>
      <c r="H2" s="38" t="s">
        <v>0</v>
      </c>
    </row>
    <row r="3" spans="1:8" ht="15.75">
      <c r="A3" s="159" t="s">
        <v>16</v>
      </c>
      <c r="B3" s="19"/>
      <c r="C3" s="19">
        <v>35088.716</v>
      </c>
      <c r="D3" s="19">
        <v>59107.4</v>
      </c>
      <c r="E3" s="19">
        <v>63659.552000000003</v>
      </c>
      <c r="F3" s="19">
        <v>68176.415999999997</v>
      </c>
      <c r="G3" s="19">
        <v>73028.516000000003</v>
      </c>
      <c r="H3" s="254">
        <f t="shared" ref="H3:H19" si="0">SUM( C3,D3,E3,F3,G3)</f>
        <v>299060.59999999998</v>
      </c>
    </row>
    <row r="4" spans="1:8" ht="15.75">
      <c r="A4" s="159" t="s">
        <v>137</v>
      </c>
      <c r="B4" s="19"/>
      <c r="C4" s="19">
        <v>25669.955999999998</v>
      </c>
      <c r="D4" s="19">
        <v>28367.8</v>
      </c>
      <c r="E4" s="19">
        <v>30552.544000000002</v>
      </c>
      <c r="F4" s="19">
        <v>32720.351999999999</v>
      </c>
      <c r="G4" s="19">
        <v>35049.052000000003</v>
      </c>
      <c r="H4" s="254">
        <f t="shared" si="0"/>
        <v>152359.704</v>
      </c>
    </row>
    <row r="5" spans="1:8" ht="15.75">
      <c r="A5" s="159" t="s">
        <v>5</v>
      </c>
      <c r="B5" s="19"/>
      <c r="C5" s="19">
        <v>1156.636</v>
      </c>
      <c r="D5" s="19">
        <v>1845.85</v>
      </c>
      <c r="E5" s="19">
        <v>1988.008</v>
      </c>
      <c r="F5" s="19">
        <v>2129.0639999999999</v>
      </c>
      <c r="G5" s="19">
        <v>2280.5889999999999</v>
      </c>
      <c r="H5" s="254">
        <f t="shared" si="0"/>
        <v>9400.146999999999</v>
      </c>
    </row>
    <row r="6" spans="1:8" ht="15.75">
      <c r="A6" s="159" t="s">
        <v>7</v>
      </c>
      <c r="B6" s="19"/>
      <c r="C6" s="19">
        <v>297.596</v>
      </c>
      <c r="D6" s="19">
        <v>522.6</v>
      </c>
      <c r="E6" s="19">
        <v>562.84799999999996</v>
      </c>
      <c r="F6" s="19">
        <v>602.78399999999999</v>
      </c>
      <c r="G6" s="19">
        <v>645.68399999999997</v>
      </c>
      <c r="H6" s="254">
        <f t="shared" si="0"/>
        <v>2631.5119999999997</v>
      </c>
    </row>
    <row r="7" spans="1:8" ht="15.75">
      <c r="A7" s="159" t="s">
        <v>8</v>
      </c>
      <c r="B7" s="19"/>
      <c r="C7" s="19">
        <v>487.81200000000001</v>
      </c>
      <c r="D7" s="19">
        <v>814.05</v>
      </c>
      <c r="E7" s="19">
        <v>876.74400000000003</v>
      </c>
      <c r="F7" s="19">
        <v>938.952</v>
      </c>
      <c r="G7" s="19">
        <v>1005.777</v>
      </c>
      <c r="H7" s="254">
        <f t="shared" si="0"/>
        <v>4123.335</v>
      </c>
    </row>
    <row r="8" spans="1:8" ht="15.75">
      <c r="A8" s="159" t="s">
        <v>9</v>
      </c>
      <c r="B8" s="19"/>
      <c r="C8" s="19">
        <v>595.19200000000001</v>
      </c>
      <c r="D8" s="19">
        <v>991.6</v>
      </c>
      <c r="E8" s="19">
        <v>1067.9680000000001</v>
      </c>
      <c r="F8" s="19">
        <v>1143.7439999999999</v>
      </c>
      <c r="G8" s="19">
        <v>1225.144</v>
      </c>
      <c r="H8" s="254">
        <f t="shared" si="0"/>
        <v>5023.6480000000001</v>
      </c>
    </row>
    <row r="9" spans="1:8" ht="15.75">
      <c r="A9" s="159" t="s">
        <v>140</v>
      </c>
      <c r="B9" s="19"/>
      <c r="C9" s="19">
        <v>659.62</v>
      </c>
      <c r="D9" s="19">
        <v>1139</v>
      </c>
      <c r="E9" s="19">
        <v>1230.328</v>
      </c>
      <c r="F9" s="19">
        <v>1317.624</v>
      </c>
      <c r="G9" s="19">
        <v>1411.3989999999999</v>
      </c>
      <c r="H9" s="254">
        <f t="shared" si="0"/>
        <v>5757.9709999999995</v>
      </c>
    </row>
    <row r="10" spans="1:8" ht="15.75">
      <c r="A10" s="159" t="s">
        <v>11</v>
      </c>
      <c r="B10" s="19"/>
      <c r="C10" s="19">
        <v>678.02800000000002</v>
      </c>
      <c r="D10" s="19">
        <v>1128.95</v>
      </c>
      <c r="E10" s="19">
        <v>1215.896</v>
      </c>
      <c r="F10" s="19">
        <v>1302.1679999999999</v>
      </c>
      <c r="G10" s="19">
        <v>1394.8430000000001</v>
      </c>
      <c r="H10" s="254">
        <f t="shared" si="0"/>
        <v>5719.8849999999993</v>
      </c>
    </row>
    <row r="11" spans="1:8" ht="15.75">
      <c r="A11" s="159" t="s">
        <v>12</v>
      </c>
      <c r="B11" s="19"/>
      <c r="C11" s="19">
        <v>9707.152</v>
      </c>
      <c r="D11" s="19">
        <v>11041.6</v>
      </c>
      <c r="E11" s="19">
        <v>11891.968000000001</v>
      </c>
      <c r="F11" s="19">
        <v>12735.744000000001</v>
      </c>
      <c r="G11" s="19">
        <v>13642.144</v>
      </c>
      <c r="H11" s="254">
        <f t="shared" si="0"/>
        <v>59018.608</v>
      </c>
    </row>
    <row r="12" spans="1:8" ht="15.75">
      <c r="A12" s="159" t="s">
        <v>144</v>
      </c>
      <c r="B12" s="19"/>
      <c r="C12" s="19">
        <v>2546.44</v>
      </c>
      <c r="D12" s="19">
        <v>4277.95</v>
      </c>
      <c r="E12" s="19">
        <v>4607.4160000000002</v>
      </c>
      <c r="F12" s="19">
        <v>4934.3280000000004</v>
      </c>
      <c r="G12" s="19">
        <v>5285.5029999999997</v>
      </c>
      <c r="H12" s="254">
        <f t="shared" si="0"/>
        <v>21651.637000000002</v>
      </c>
    </row>
    <row r="13" spans="1:8" ht="15.75">
      <c r="A13" s="159" t="s">
        <v>14</v>
      </c>
      <c r="B13" s="19"/>
      <c r="C13" s="19">
        <v>859.04</v>
      </c>
      <c r="D13" s="19">
        <v>1504.15</v>
      </c>
      <c r="E13" s="19">
        <v>1619.992</v>
      </c>
      <c r="F13" s="19">
        <v>1734.9359999999999</v>
      </c>
      <c r="G13" s="19">
        <v>1858.4110000000001</v>
      </c>
      <c r="H13" s="254">
        <f t="shared" si="0"/>
        <v>7576.5289999999995</v>
      </c>
    </row>
    <row r="14" spans="1:8" ht="15.75">
      <c r="A14" s="159" t="s">
        <v>30</v>
      </c>
      <c r="B14" s="19"/>
      <c r="C14" s="19"/>
      <c r="D14" s="19">
        <v>1510.85</v>
      </c>
      <c r="E14" s="19">
        <v>1775.136</v>
      </c>
      <c r="F14" s="19">
        <v>1901.088</v>
      </c>
      <c r="G14" s="19">
        <v>2036.3879999999999</v>
      </c>
      <c r="H14" s="254">
        <f t="shared" si="0"/>
        <v>7223.4619999999995</v>
      </c>
    </row>
    <row r="15" spans="1:8" ht="15.75">
      <c r="A15" s="159" t="s">
        <v>31</v>
      </c>
      <c r="B15" s="19"/>
      <c r="C15" s="19">
        <v>8093.384</v>
      </c>
      <c r="D15" s="19">
        <v>22331.1</v>
      </c>
      <c r="E15" s="19">
        <v>24050.928</v>
      </c>
      <c r="F15" s="19">
        <v>25757.423999999999</v>
      </c>
      <c r="G15" s="19">
        <v>27590.574000000001</v>
      </c>
      <c r="H15" s="254">
        <f t="shared" si="0"/>
        <v>107823.41</v>
      </c>
    </row>
    <row r="16" spans="1:8" ht="15.75">
      <c r="A16" s="159" t="s">
        <v>32</v>
      </c>
      <c r="B16" s="19"/>
      <c r="C16" s="19">
        <v>1432.7560000000001</v>
      </c>
      <c r="D16" s="19">
        <v>6499</v>
      </c>
      <c r="E16" s="19">
        <v>7071.68</v>
      </c>
      <c r="F16" s="19">
        <v>7573.44</v>
      </c>
      <c r="G16" s="19">
        <v>8112.44</v>
      </c>
      <c r="H16" s="254">
        <f t="shared" si="0"/>
        <v>30689.315999999999</v>
      </c>
    </row>
    <row r="17" spans="1:8" ht="15.75">
      <c r="A17" s="159" t="s">
        <v>33</v>
      </c>
      <c r="B17" s="19"/>
      <c r="C17" s="19"/>
      <c r="D17" s="19"/>
      <c r="E17" s="19"/>
      <c r="F17" s="19"/>
      <c r="G17" s="19"/>
      <c r="H17" s="254">
        <f t="shared" si="0"/>
        <v>0</v>
      </c>
    </row>
    <row r="18" spans="1:8" ht="15.75">
      <c r="A18" s="159" t="s">
        <v>34</v>
      </c>
      <c r="B18" s="19"/>
      <c r="C18" s="19"/>
      <c r="D18" s="19"/>
      <c r="E18" s="19"/>
      <c r="F18" s="19"/>
      <c r="G18" s="19"/>
      <c r="H18" s="254">
        <f t="shared" si="0"/>
        <v>0</v>
      </c>
    </row>
    <row r="19" spans="1:8" ht="15.75">
      <c r="A19" s="159" t="s">
        <v>146</v>
      </c>
      <c r="B19" s="19"/>
      <c r="C19" s="19">
        <v>153.4</v>
      </c>
      <c r="D19" s="19">
        <v>335</v>
      </c>
      <c r="E19" s="19">
        <v>360.8</v>
      </c>
      <c r="F19" s="19">
        <v>386.4</v>
      </c>
      <c r="G19" s="19">
        <v>413.9</v>
      </c>
      <c r="H19" s="254">
        <f t="shared" si="0"/>
        <v>1649.5</v>
      </c>
    </row>
    <row r="20" spans="1:8" ht="15.75">
      <c r="A20" s="177" t="s">
        <v>18</v>
      </c>
      <c r="B20" s="177"/>
      <c r="C20" s="173">
        <f t="shared" ref="C20:H20" si="1">SUM(C3:C19)</f>
        <v>87425.727999999988</v>
      </c>
      <c r="D20" s="173">
        <f t="shared" si="1"/>
        <v>141416.90000000002</v>
      </c>
      <c r="E20" s="173">
        <f t="shared" si="1"/>
        <v>152531.80799999996</v>
      </c>
      <c r="F20" s="173">
        <f t="shared" si="1"/>
        <v>163354.46400000001</v>
      </c>
      <c r="G20" s="173">
        <f t="shared" si="1"/>
        <v>174980.364</v>
      </c>
      <c r="H20" s="173">
        <f t="shared" si="1"/>
        <v>719709.26399999997</v>
      </c>
    </row>
    <row r="21" spans="1:8" ht="41.25" customHeight="1">
      <c r="A21" s="374" t="s">
        <v>221</v>
      </c>
      <c r="B21" s="375"/>
      <c r="C21" s="375"/>
      <c r="D21" s="375"/>
      <c r="E21" s="375"/>
      <c r="F21" s="375"/>
      <c r="G21" s="375"/>
      <c r="H21" s="376"/>
    </row>
    <row r="22" spans="1:8" ht="18.75">
      <c r="A22" s="82"/>
      <c r="B22" s="35"/>
      <c r="C22" s="35">
        <v>2023</v>
      </c>
      <c r="D22" s="35">
        <v>2024</v>
      </c>
      <c r="E22" s="38">
        <v>2025</v>
      </c>
      <c r="F22" s="38">
        <v>2026</v>
      </c>
      <c r="G22" s="38">
        <v>2027</v>
      </c>
      <c r="H22" s="38" t="s">
        <v>0</v>
      </c>
    </row>
    <row r="23" spans="1:8" ht="15.75">
      <c r="A23" s="159" t="s">
        <v>16</v>
      </c>
      <c r="B23" s="177"/>
      <c r="C23" s="173">
        <v>16472.092000000001</v>
      </c>
      <c r="D23" s="173">
        <v>28113.200000000001</v>
      </c>
      <c r="E23" s="173">
        <v>30278.335999999999</v>
      </c>
      <c r="F23" s="173">
        <v>32426.687999999998</v>
      </c>
      <c r="G23" s="173">
        <v>34734.487999999998</v>
      </c>
      <c r="H23" s="173">
        <f t="shared" ref="H23:H40" si="2">SUM(C23:G23)</f>
        <v>142024.804</v>
      </c>
    </row>
    <row r="24" spans="1:8" ht="15.75">
      <c r="A24" s="159" t="s">
        <v>137</v>
      </c>
      <c r="B24" s="177"/>
      <c r="C24" s="173">
        <v>18233.124</v>
      </c>
      <c r="D24" s="173">
        <v>20153.599999999999</v>
      </c>
      <c r="E24" s="173">
        <v>21705.727999999999</v>
      </c>
      <c r="F24" s="173">
        <v>23245.824000000001</v>
      </c>
      <c r="G24" s="173">
        <v>24900.223999999998</v>
      </c>
      <c r="H24" s="173">
        <f t="shared" si="2"/>
        <v>108238.50000000001</v>
      </c>
    </row>
    <row r="25" spans="1:8" ht="15.75">
      <c r="A25" s="159" t="s">
        <v>5</v>
      </c>
      <c r="B25" s="177"/>
      <c r="C25" s="173">
        <v>2110.7840000000001</v>
      </c>
      <c r="D25" s="173">
        <v>3490.7</v>
      </c>
      <c r="E25" s="173">
        <v>3759.5360000000001</v>
      </c>
      <c r="F25" s="173">
        <v>4026.288</v>
      </c>
      <c r="G25" s="173">
        <v>4312.8379999999997</v>
      </c>
      <c r="H25" s="173">
        <f t="shared" si="2"/>
        <v>17700.146000000001</v>
      </c>
    </row>
    <row r="26" spans="1:8" ht="15.75">
      <c r="A26" s="159" t="s">
        <v>7</v>
      </c>
      <c r="B26" s="177"/>
      <c r="C26" s="173">
        <v>923.46799999999996</v>
      </c>
      <c r="D26" s="173">
        <v>1681.7</v>
      </c>
      <c r="E26" s="173">
        <v>1811.2159999999999</v>
      </c>
      <c r="F26" s="173">
        <v>1939.7280000000001</v>
      </c>
      <c r="G26" s="173">
        <v>2077.7779999999998</v>
      </c>
      <c r="H26" s="173">
        <f t="shared" si="2"/>
        <v>8433.89</v>
      </c>
    </row>
    <row r="27" spans="1:8" ht="15.75">
      <c r="A27" s="159" t="s">
        <v>8</v>
      </c>
      <c r="B27" s="177"/>
      <c r="C27" s="173">
        <v>1214.9280000000001</v>
      </c>
      <c r="D27" s="173">
        <v>2103.8000000000002</v>
      </c>
      <c r="E27" s="173">
        <v>2265.8240000000001</v>
      </c>
      <c r="F27" s="173">
        <v>2426.5920000000001</v>
      </c>
      <c r="G27" s="173">
        <v>2599.2919999999999</v>
      </c>
      <c r="H27" s="173">
        <f t="shared" si="2"/>
        <v>10610.436</v>
      </c>
    </row>
    <row r="28" spans="1:8" ht="15.75">
      <c r="A28" s="159" t="s">
        <v>9</v>
      </c>
      <c r="B28" s="177"/>
      <c r="C28" s="173">
        <v>1224.1320000000001</v>
      </c>
      <c r="D28" s="173">
        <v>2117.1999999999998</v>
      </c>
      <c r="E28" s="173">
        <v>2280.2559999999999</v>
      </c>
      <c r="F28" s="173">
        <v>2442.0479999999998</v>
      </c>
      <c r="G28" s="173">
        <v>2615.848</v>
      </c>
      <c r="H28" s="173">
        <f t="shared" si="2"/>
        <v>10679.484</v>
      </c>
    </row>
    <row r="29" spans="1:8" ht="15.75">
      <c r="A29" s="159" t="s">
        <v>140</v>
      </c>
      <c r="B29" s="177"/>
      <c r="C29" s="173">
        <v>3230.6039999999998</v>
      </c>
      <c r="D29" s="173">
        <v>5349.95</v>
      </c>
      <c r="E29" s="173">
        <v>5761.9759999999997</v>
      </c>
      <c r="F29" s="173">
        <v>6170.808</v>
      </c>
      <c r="G29" s="173">
        <v>6609.9830000000002</v>
      </c>
      <c r="H29" s="173">
        <f t="shared" si="2"/>
        <v>27123.321</v>
      </c>
    </row>
    <row r="30" spans="1:8" ht="15.75">
      <c r="A30" s="159" t="s">
        <v>11</v>
      </c>
      <c r="B30" s="177"/>
      <c r="C30" s="173">
        <v>1693.5360000000001</v>
      </c>
      <c r="D30" s="173">
        <v>2934.6</v>
      </c>
      <c r="E30" s="173">
        <v>3160.6080000000002</v>
      </c>
      <c r="F30" s="173">
        <v>3384.864</v>
      </c>
      <c r="G30" s="173">
        <v>3625.7640000000001</v>
      </c>
      <c r="H30" s="173">
        <f t="shared" si="2"/>
        <v>14799.371999999999</v>
      </c>
    </row>
    <row r="31" spans="1:8" ht="15.75">
      <c r="A31" s="159" t="s">
        <v>12</v>
      </c>
      <c r="B31" s="177"/>
      <c r="C31" s="173">
        <v>3273.556</v>
      </c>
      <c r="D31" s="173">
        <v>3721.85</v>
      </c>
      <c r="E31" s="173">
        <v>4008.4879999999998</v>
      </c>
      <c r="F31" s="173">
        <v>4292.9040000000005</v>
      </c>
      <c r="G31" s="173">
        <v>4598.4290000000001</v>
      </c>
      <c r="H31" s="173">
        <f t="shared" si="2"/>
        <v>19895.226999999999</v>
      </c>
    </row>
    <row r="32" spans="1:8" ht="15.75">
      <c r="A32" s="159" t="s">
        <v>144</v>
      </c>
      <c r="B32" s="177"/>
      <c r="C32" s="173">
        <v>4810.6239999999998</v>
      </c>
      <c r="D32" s="173">
        <v>9068.4500000000007</v>
      </c>
      <c r="E32" s="173">
        <v>9766.8559999999998</v>
      </c>
      <c r="F32" s="173">
        <v>10459.848</v>
      </c>
      <c r="G32" s="173">
        <v>11204.272999999999</v>
      </c>
      <c r="H32" s="173">
        <f t="shared" si="2"/>
        <v>45310.050999999999</v>
      </c>
    </row>
    <row r="33" spans="1:8" ht="15.75">
      <c r="A33" s="159" t="s">
        <v>14</v>
      </c>
      <c r="B33" s="177"/>
      <c r="C33" s="173">
        <v>1506.3879999999999</v>
      </c>
      <c r="D33" s="173">
        <v>2740.3</v>
      </c>
      <c r="E33" s="173">
        <v>2951.3440000000001</v>
      </c>
      <c r="F33" s="173">
        <v>3160.752</v>
      </c>
      <c r="G33" s="173">
        <v>3385.7020000000002</v>
      </c>
      <c r="H33" s="173">
        <f t="shared" si="2"/>
        <v>13744.486000000001</v>
      </c>
    </row>
    <row r="34" spans="1:8" ht="15.75">
      <c r="A34" s="159" t="s">
        <v>30</v>
      </c>
      <c r="B34" s="177"/>
      <c r="C34" s="173"/>
      <c r="D34" s="173">
        <v>1068.6500000000001</v>
      </c>
      <c r="E34" s="173">
        <v>1255.5840000000001</v>
      </c>
      <c r="F34" s="173">
        <v>1344.672</v>
      </c>
      <c r="G34" s="173">
        <v>1440.3720000000001</v>
      </c>
      <c r="H34" s="173">
        <f t="shared" si="2"/>
        <v>5109.2780000000002</v>
      </c>
    </row>
    <row r="35" spans="1:8" ht="15.75">
      <c r="A35" s="159" t="s">
        <v>31</v>
      </c>
      <c r="B35" s="177"/>
      <c r="C35" s="173">
        <v>4479.28</v>
      </c>
      <c r="D35" s="173">
        <v>11748.45</v>
      </c>
      <c r="E35" s="173">
        <v>12653.255999999999</v>
      </c>
      <c r="F35" s="173">
        <v>13551.048000000001</v>
      </c>
      <c r="G35" s="173">
        <v>14515.473</v>
      </c>
      <c r="H35" s="173">
        <f t="shared" si="2"/>
        <v>56947.506999999998</v>
      </c>
    </row>
    <row r="36" spans="1:8" ht="15.75">
      <c r="A36" s="159" t="s">
        <v>32</v>
      </c>
      <c r="B36" s="177"/>
      <c r="C36" s="173">
        <v>383.5</v>
      </c>
      <c r="D36" s="173">
        <v>1685.05</v>
      </c>
      <c r="E36" s="173">
        <v>1832.864</v>
      </c>
      <c r="F36" s="173">
        <v>1962.912</v>
      </c>
      <c r="G36" s="173">
        <v>2102.6120000000001</v>
      </c>
      <c r="H36" s="173">
        <f t="shared" si="2"/>
        <v>7966.9380000000001</v>
      </c>
    </row>
    <row r="37" spans="1:8" ht="15.75">
      <c r="A37" s="159" t="s">
        <v>33</v>
      </c>
      <c r="B37" s="177"/>
      <c r="C37" s="173"/>
      <c r="D37" s="173"/>
      <c r="E37" s="173"/>
      <c r="F37" s="173"/>
      <c r="G37" s="173"/>
      <c r="H37" s="173">
        <f t="shared" si="2"/>
        <v>0</v>
      </c>
    </row>
    <row r="38" spans="1:8" ht="15.75">
      <c r="A38" s="159" t="s">
        <v>34</v>
      </c>
      <c r="B38" s="177"/>
      <c r="C38" s="173"/>
      <c r="D38" s="173"/>
      <c r="E38" s="173"/>
      <c r="F38" s="173"/>
      <c r="G38" s="173"/>
      <c r="H38" s="173">
        <f t="shared" si="2"/>
        <v>0</v>
      </c>
    </row>
    <row r="39" spans="1:8" ht="15.75">
      <c r="A39" s="159" t="s">
        <v>146</v>
      </c>
      <c r="B39" s="177"/>
      <c r="C39" s="173">
        <v>119.652</v>
      </c>
      <c r="D39" s="173">
        <v>257.95</v>
      </c>
      <c r="E39" s="173">
        <v>277.81599999999997</v>
      </c>
      <c r="F39" s="173">
        <v>297.52800000000002</v>
      </c>
      <c r="G39" s="173">
        <v>318.70299999999997</v>
      </c>
      <c r="H39" s="173">
        <f t="shared" si="2"/>
        <v>1271.6489999999999</v>
      </c>
    </row>
    <row r="40" spans="1:8" ht="15.75">
      <c r="A40" s="177" t="s">
        <v>18</v>
      </c>
      <c r="B40" s="177"/>
      <c r="C40" s="173">
        <f>SUM(C23:C39)</f>
        <v>59675.667999999998</v>
      </c>
      <c r="D40" s="173">
        <f t="shared" ref="D40:G40" si="3">SUM(D23:D39)</f>
        <v>96235.45</v>
      </c>
      <c r="E40" s="173">
        <f t="shared" si="3"/>
        <v>103769.68800000001</v>
      </c>
      <c r="F40" s="173">
        <f t="shared" si="3"/>
        <v>111132.504</v>
      </c>
      <c r="G40" s="173">
        <f t="shared" si="3"/>
        <v>119041.77899999999</v>
      </c>
      <c r="H40" s="173">
        <f t="shared" si="2"/>
        <v>489855.08899999998</v>
      </c>
    </row>
    <row r="41" spans="1:8" ht="15.75">
      <c r="A41" s="255"/>
      <c r="B41" s="255"/>
      <c r="C41" s="256"/>
      <c r="D41" s="256"/>
      <c r="E41" s="256"/>
      <c r="F41" s="256"/>
      <c r="G41" s="256"/>
      <c r="H41" s="256"/>
    </row>
    <row r="43" spans="1:8" ht="37.5" customHeight="1">
      <c r="A43" s="374" t="s">
        <v>222</v>
      </c>
      <c r="B43" s="375"/>
      <c r="C43" s="375"/>
      <c r="D43" s="375"/>
      <c r="E43" s="375"/>
      <c r="F43" s="375"/>
      <c r="G43" s="375"/>
      <c r="H43" s="376"/>
    </row>
    <row r="44" spans="1:8" ht="18.75">
      <c r="A44" s="257"/>
      <c r="B44" s="35">
        <v>2022</v>
      </c>
      <c r="C44" s="35">
        <v>2023</v>
      </c>
      <c r="D44" s="35">
        <v>2024</v>
      </c>
      <c r="E44" s="38">
        <v>2025</v>
      </c>
      <c r="F44" s="38">
        <v>2026</v>
      </c>
      <c r="G44" s="38">
        <v>2027</v>
      </c>
      <c r="H44" s="38" t="s">
        <v>0</v>
      </c>
    </row>
    <row r="45" spans="1:8" ht="15.75">
      <c r="A45" s="159" t="s">
        <v>16</v>
      </c>
      <c r="B45" s="19">
        <v>7934.982</v>
      </c>
      <c r="C45" s="19">
        <v>7934.982</v>
      </c>
      <c r="D45" s="19">
        <v>7934.982</v>
      </c>
      <c r="E45" s="19">
        <v>7934.982</v>
      </c>
      <c r="F45" s="19">
        <v>7934.982</v>
      </c>
      <c r="G45" s="19">
        <v>7934.982</v>
      </c>
      <c r="H45" s="38">
        <f t="shared" ref="H45:H106" si="4">SUM(B45:G45)</f>
        <v>47609.892000000007</v>
      </c>
    </row>
    <row r="46" spans="1:8" ht="15.75">
      <c r="A46" s="159" t="s">
        <v>137</v>
      </c>
      <c r="B46" s="19">
        <v>6126.3119999999999</v>
      </c>
      <c r="C46" s="19">
        <v>6126.3119999999999</v>
      </c>
      <c r="D46" s="19">
        <v>6126.3119999999999</v>
      </c>
      <c r="E46" s="19">
        <v>6126.3119999999999</v>
      </c>
      <c r="F46" s="19">
        <v>6126.3119999999999</v>
      </c>
      <c r="G46" s="19">
        <v>6126.3119999999999</v>
      </c>
      <c r="H46" s="38">
        <f t="shared" si="4"/>
        <v>36757.871999999996</v>
      </c>
    </row>
    <row r="47" spans="1:8" ht="15.75">
      <c r="A47" s="159" t="s">
        <v>5</v>
      </c>
      <c r="B47" s="19">
        <v>1045.0039999999999</v>
      </c>
      <c r="C47" s="19">
        <v>1045.0039999999999</v>
      </c>
      <c r="D47" s="19">
        <v>1045.0039999999999</v>
      </c>
      <c r="E47" s="19">
        <v>1045.0039999999999</v>
      </c>
      <c r="F47" s="19">
        <v>1045.0039999999999</v>
      </c>
      <c r="G47" s="19">
        <v>1045.0039999999999</v>
      </c>
      <c r="H47" s="38">
        <f t="shared" si="4"/>
        <v>6270.0239999999994</v>
      </c>
    </row>
    <row r="48" spans="1:8" ht="15.75">
      <c r="A48" s="159" t="s">
        <v>7</v>
      </c>
      <c r="B48" s="19">
        <v>517.77200000000005</v>
      </c>
      <c r="C48" s="19">
        <v>517.77200000000005</v>
      </c>
      <c r="D48" s="19">
        <v>517.77200000000005</v>
      </c>
      <c r="E48" s="19">
        <v>517.77200000000005</v>
      </c>
      <c r="F48" s="19">
        <v>517.77200000000005</v>
      </c>
      <c r="G48" s="19">
        <v>517.77200000000005</v>
      </c>
      <c r="H48" s="38">
        <f t="shared" si="4"/>
        <v>3106.6320000000001</v>
      </c>
    </row>
    <row r="49" spans="1:8" ht="15.75">
      <c r="A49" s="159" t="s">
        <v>8</v>
      </c>
      <c r="B49" s="19">
        <v>517.77200000000005</v>
      </c>
      <c r="C49" s="19">
        <v>517.77200000000005</v>
      </c>
      <c r="D49" s="19">
        <v>517.77200000000005</v>
      </c>
      <c r="E49" s="19">
        <v>517.77200000000005</v>
      </c>
      <c r="F49" s="19">
        <v>517.77200000000005</v>
      </c>
      <c r="G49" s="19">
        <v>517.77200000000005</v>
      </c>
      <c r="H49" s="38">
        <f t="shared" si="4"/>
        <v>3106.6320000000001</v>
      </c>
    </row>
    <row r="50" spans="1:8" ht="15.75">
      <c r="A50" s="159" t="s">
        <v>9</v>
      </c>
      <c r="B50" s="19">
        <v>517.77200000000005</v>
      </c>
      <c r="C50" s="19">
        <v>517.77200000000005</v>
      </c>
      <c r="D50" s="19">
        <v>517.77200000000005</v>
      </c>
      <c r="E50" s="19">
        <v>517.77200000000005</v>
      </c>
      <c r="F50" s="19">
        <v>517.77200000000005</v>
      </c>
      <c r="G50" s="19">
        <v>517.77200000000005</v>
      </c>
      <c r="H50" s="38">
        <f t="shared" si="4"/>
        <v>3106.6320000000001</v>
      </c>
    </row>
    <row r="51" spans="1:8" ht="15.75">
      <c r="A51" s="159" t="s">
        <v>140</v>
      </c>
      <c r="B51" s="19">
        <v>1148.559</v>
      </c>
      <c r="C51" s="19">
        <v>1148.559</v>
      </c>
      <c r="D51" s="19">
        <v>1148.559</v>
      </c>
      <c r="E51" s="19">
        <v>1148.559</v>
      </c>
      <c r="F51" s="19">
        <v>1148.559</v>
      </c>
      <c r="G51" s="19">
        <v>1148.559</v>
      </c>
      <c r="H51" s="38">
        <f t="shared" si="4"/>
        <v>6891.3540000000003</v>
      </c>
    </row>
    <row r="52" spans="1:8" ht="15.75">
      <c r="A52" s="159" t="s">
        <v>11</v>
      </c>
      <c r="B52" s="19">
        <v>517.77200000000005</v>
      </c>
      <c r="C52" s="19">
        <v>517.77200000000005</v>
      </c>
      <c r="D52" s="19">
        <v>517.77200000000005</v>
      </c>
      <c r="E52" s="19">
        <v>517.77200000000005</v>
      </c>
      <c r="F52" s="19">
        <v>517.77200000000005</v>
      </c>
      <c r="G52" s="19">
        <v>517.77200000000005</v>
      </c>
      <c r="H52" s="38">
        <f t="shared" si="4"/>
        <v>3106.6320000000001</v>
      </c>
    </row>
    <row r="53" spans="1:8" ht="15.75">
      <c r="A53" s="159" t="s">
        <v>12</v>
      </c>
      <c r="B53" s="19">
        <v>1045.0039999999999</v>
      </c>
      <c r="C53" s="19">
        <v>1045.0039999999999</v>
      </c>
      <c r="D53" s="19">
        <v>1045.0039999999999</v>
      </c>
      <c r="E53" s="19">
        <v>1045.0039999999999</v>
      </c>
      <c r="F53" s="19">
        <v>1045.0039999999999</v>
      </c>
      <c r="G53" s="19">
        <v>1045.0039999999999</v>
      </c>
      <c r="H53" s="38">
        <f t="shared" si="4"/>
        <v>6270.0239999999994</v>
      </c>
    </row>
    <row r="54" spans="1:8" ht="15.75">
      <c r="A54" s="159" t="s">
        <v>144</v>
      </c>
      <c r="B54" s="19">
        <v>3612.5070000000001</v>
      </c>
      <c r="C54" s="19">
        <v>3612.5070000000001</v>
      </c>
      <c r="D54" s="19">
        <v>3612.5070000000001</v>
      </c>
      <c r="E54" s="19">
        <v>3612.5070000000001</v>
      </c>
      <c r="F54" s="19">
        <v>3612.5070000000001</v>
      </c>
      <c r="G54" s="19">
        <v>3612.5070000000001</v>
      </c>
      <c r="H54" s="38">
        <f t="shared" si="4"/>
        <v>21675.042000000001</v>
      </c>
    </row>
    <row r="55" spans="1:8" ht="15.75">
      <c r="A55" s="159" t="s">
        <v>14</v>
      </c>
      <c r="B55" s="19">
        <v>1045.0039999999999</v>
      </c>
      <c r="C55" s="19">
        <v>1045.0039999999999</v>
      </c>
      <c r="D55" s="19">
        <v>1045.0039999999999</v>
      </c>
      <c r="E55" s="19">
        <v>1045.0039999999999</v>
      </c>
      <c r="F55" s="19">
        <v>1045.0039999999999</v>
      </c>
      <c r="G55" s="19">
        <v>1045.0039999999999</v>
      </c>
      <c r="H55" s="38">
        <f t="shared" si="4"/>
        <v>6270.0239999999994</v>
      </c>
    </row>
    <row r="56" spans="1:8" ht="15.75">
      <c r="A56" s="159" t="s">
        <v>30</v>
      </c>
      <c r="B56" s="258" t="s">
        <v>6</v>
      </c>
      <c r="C56" s="258" t="s">
        <v>6</v>
      </c>
      <c r="D56" s="258" t="s">
        <v>6</v>
      </c>
      <c r="E56" s="258" t="s">
        <v>6</v>
      </c>
      <c r="F56" s="258" t="s">
        <v>6</v>
      </c>
      <c r="G56" s="258" t="s">
        <v>6</v>
      </c>
      <c r="H56" s="38">
        <f t="shared" si="4"/>
        <v>0</v>
      </c>
    </row>
    <row r="57" spans="1:8" ht="15.75">
      <c r="A57" s="159" t="s">
        <v>31</v>
      </c>
      <c r="B57" s="19">
        <v>3403.5059999999999</v>
      </c>
      <c r="C57" s="19">
        <v>3403.5059999999999</v>
      </c>
      <c r="D57" s="19">
        <v>3403.5059999999999</v>
      </c>
      <c r="E57" s="19">
        <v>3403.5059999999999</v>
      </c>
      <c r="F57" s="19">
        <v>3403.5059999999999</v>
      </c>
      <c r="G57" s="19">
        <v>3403.5059999999999</v>
      </c>
      <c r="H57" s="38">
        <f t="shared" si="4"/>
        <v>20421.036</v>
      </c>
    </row>
    <row r="58" spans="1:8" ht="15.75">
      <c r="A58" s="159" t="s">
        <v>32</v>
      </c>
      <c r="B58" s="19">
        <v>3403.5059999999999</v>
      </c>
      <c r="C58" s="19">
        <v>3403.5059999999999</v>
      </c>
      <c r="D58" s="19">
        <v>3403.5059999999999</v>
      </c>
      <c r="E58" s="19">
        <v>3403.5059999999999</v>
      </c>
      <c r="F58" s="19">
        <v>3403.5059999999999</v>
      </c>
      <c r="G58" s="19">
        <v>3403.5059999999999</v>
      </c>
      <c r="H58" s="38">
        <f t="shared" si="4"/>
        <v>20421.036</v>
      </c>
    </row>
    <row r="59" spans="1:8" ht="15.75">
      <c r="A59" s="159" t="s">
        <v>33</v>
      </c>
      <c r="B59" s="258" t="s">
        <v>6</v>
      </c>
      <c r="C59" s="258" t="s">
        <v>6</v>
      </c>
      <c r="D59" s="258" t="s">
        <v>6</v>
      </c>
      <c r="E59" s="258" t="s">
        <v>6</v>
      </c>
      <c r="F59" s="258" t="s">
        <v>6</v>
      </c>
      <c r="G59" s="258" t="s">
        <v>6</v>
      </c>
      <c r="H59" s="38">
        <f t="shared" si="4"/>
        <v>0</v>
      </c>
    </row>
    <row r="60" spans="1:8" ht="15.75">
      <c r="A60" s="159" t="s">
        <v>34</v>
      </c>
      <c r="B60" s="258" t="s">
        <v>6</v>
      </c>
      <c r="C60" s="258" t="s">
        <v>6</v>
      </c>
      <c r="D60" s="258" t="s">
        <v>6</v>
      </c>
      <c r="E60" s="258" t="s">
        <v>6</v>
      </c>
      <c r="F60" s="258" t="s">
        <v>6</v>
      </c>
      <c r="G60" s="258" t="s">
        <v>6</v>
      </c>
      <c r="H60" s="38">
        <f t="shared" si="4"/>
        <v>0</v>
      </c>
    </row>
    <row r="61" spans="1:8" ht="15.75">
      <c r="A61" s="159" t="s">
        <v>146</v>
      </c>
      <c r="B61" s="19">
        <v>9</v>
      </c>
      <c r="C61" s="19">
        <v>9</v>
      </c>
      <c r="D61" s="19">
        <v>9</v>
      </c>
      <c r="E61" s="19">
        <v>9</v>
      </c>
      <c r="F61" s="19">
        <v>9</v>
      </c>
      <c r="G61" s="19">
        <v>9</v>
      </c>
      <c r="H61" s="38">
        <f t="shared" si="4"/>
        <v>54</v>
      </c>
    </row>
    <row r="62" spans="1:8" ht="15.75">
      <c r="A62" s="177" t="s">
        <v>18</v>
      </c>
      <c r="B62" s="177">
        <f>SUM(B45:B61)</f>
        <v>30844.472000000009</v>
      </c>
      <c r="C62" s="177">
        <f t="shared" ref="C62:G85" si="5">SUM(C45:C61)</f>
        <v>30844.472000000009</v>
      </c>
      <c r="D62" s="177">
        <f t="shared" si="5"/>
        <v>30844.472000000009</v>
      </c>
      <c r="E62" s="177">
        <f t="shared" si="5"/>
        <v>30844.472000000009</v>
      </c>
      <c r="F62" s="177">
        <f t="shared" si="5"/>
        <v>30844.472000000009</v>
      </c>
      <c r="G62" s="177">
        <f t="shared" si="5"/>
        <v>30844.472000000009</v>
      </c>
      <c r="H62" s="177">
        <f t="shared" si="4"/>
        <v>185066.83200000005</v>
      </c>
    </row>
    <row r="63" spans="1:8" ht="15.75">
      <c r="A63" s="255"/>
      <c r="B63" s="255"/>
      <c r="C63" s="255"/>
      <c r="D63" s="255"/>
      <c r="E63" s="255"/>
      <c r="F63" s="255"/>
      <c r="G63" s="255"/>
      <c r="H63" s="255"/>
    </row>
    <row r="64" spans="1:8" ht="15.75">
      <c r="A64" s="255"/>
      <c r="B64" s="255"/>
      <c r="C64" s="255"/>
      <c r="D64" s="255"/>
      <c r="E64" s="255"/>
      <c r="F64" s="255"/>
      <c r="G64" s="255"/>
      <c r="H64" s="255"/>
    </row>
    <row r="66" spans="1:8" ht="18.75">
      <c r="A66" s="374" t="s">
        <v>223</v>
      </c>
      <c r="B66" s="375"/>
      <c r="C66" s="375"/>
      <c r="D66" s="375"/>
      <c r="E66" s="375"/>
      <c r="F66" s="375"/>
      <c r="G66" s="375"/>
      <c r="H66" s="376"/>
    </row>
    <row r="67" spans="1:8" ht="18.75">
      <c r="A67" s="257"/>
      <c r="B67" s="35">
        <v>2022</v>
      </c>
      <c r="C67" s="35">
        <v>2023</v>
      </c>
      <c r="D67" s="35">
        <v>2024</v>
      </c>
      <c r="E67" s="38">
        <v>2025</v>
      </c>
      <c r="F67" s="38">
        <v>2026</v>
      </c>
      <c r="G67" s="38">
        <v>2027</v>
      </c>
      <c r="H67" s="38" t="s">
        <v>0</v>
      </c>
    </row>
    <row r="68" spans="1:8" ht="15.75">
      <c r="A68" s="159" t="s">
        <v>16</v>
      </c>
      <c r="B68" s="18">
        <v>300</v>
      </c>
      <c r="C68" s="19"/>
      <c r="D68" s="19"/>
      <c r="E68" s="19"/>
      <c r="F68" s="19"/>
      <c r="G68" s="19"/>
      <c r="H68" s="38">
        <f t="shared" si="4"/>
        <v>300</v>
      </c>
    </row>
    <row r="69" spans="1:8" ht="15.75">
      <c r="A69" s="159" t="s">
        <v>137</v>
      </c>
      <c r="B69" s="19">
        <v>30</v>
      </c>
      <c r="C69" s="19"/>
      <c r="D69" s="19"/>
      <c r="E69" s="19"/>
      <c r="F69" s="19"/>
      <c r="G69" s="19"/>
      <c r="H69" s="38">
        <f t="shared" si="4"/>
        <v>30</v>
      </c>
    </row>
    <row r="70" spans="1:8" ht="15.75">
      <c r="A70" s="159" t="s">
        <v>5</v>
      </c>
      <c r="B70" s="19">
        <v>30</v>
      </c>
      <c r="C70" s="19"/>
      <c r="D70" s="19"/>
      <c r="E70" s="19"/>
      <c r="F70" s="19"/>
      <c r="G70" s="19"/>
      <c r="H70" s="38">
        <f t="shared" si="4"/>
        <v>30</v>
      </c>
    </row>
    <row r="71" spans="1:8" ht="15.75">
      <c r="A71" s="159" t="s">
        <v>7</v>
      </c>
      <c r="B71" s="19">
        <v>30</v>
      </c>
      <c r="C71" s="19"/>
      <c r="D71" s="19"/>
      <c r="E71" s="19"/>
      <c r="F71" s="19"/>
      <c r="G71" s="19"/>
      <c r="H71" s="38">
        <f t="shared" si="4"/>
        <v>30</v>
      </c>
    </row>
    <row r="72" spans="1:8" ht="15.75">
      <c r="A72" s="159" t="s">
        <v>8</v>
      </c>
      <c r="B72" s="19">
        <v>30</v>
      </c>
      <c r="C72" s="19"/>
      <c r="D72" s="19"/>
      <c r="E72" s="19"/>
      <c r="F72" s="19"/>
      <c r="G72" s="19"/>
      <c r="H72" s="38">
        <f t="shared" si="4"/>
        <v>30</v>
      </c>
    </row>
    <row r="73" spans="1:8" ht="15.75">
      <c r="A73" s="159" t="s">
        <v>9</v>
      </c>
      <c r="B73" s="19">
        <v>30</v>
      </c>
      <c r="C73" s="19"/>
      <c r="D73" s="19"/>
      <c r="E73" s="19"/>
      <c r="F73" s="19"/>
      <c r="G73" s="19"/>
      <c r="H73" s="38">
        <f t="shared" si="4"/>
        <v>30</v>
      </c>
    </row>
    <row r="74" spans="1:8" ht="15.75">
      <c r="A74" s="159" t="s">
        <v>140</v>
      </c>
      <c r="B74" s="19">
        <v>30</v>
      </c>
      <c r="C74" s="19"/>
      <c r="D74" s="19"/>
      <c r="E74" s="19"/>
      <c r="F74" s="19"/>
      <c r="G74" s="19"/>
      <c r="H74" s="38">
        <f t="shared" si="4"/>
        <v>30</v>
      </c>
    </row>
    <row r="75" spans="1:8" ht="15.75">
      <c r="A75" s="159" t="s">
        <v>11</v>
      </c>
      <c r="B75" s="19">
        <v>30</v>
      </c>
      <c r="C75" s="19"/>
      <c r="D75" s="19"/>
      <c r="E75" s="19"/>
      <c r="F75" s="19"/>
      <c r="G75" s="19"/>
      <c r="H75" s="38">
        <f t="shared" si="4"/>
        <v>30</v>
      </c>
    </row>
    <row r="76" spans="1:8" ht="15.75">
      <c r="A76" s="159" t="s">
        <v>12</v>
      </c>
      <c r="B76" s="19">
        <v>30</v>
      </c>
      <c r="C76" s="19"/>
      <c r="D76" s="19"/>
      <c r="E76" s="19"/>
      <c r="F76" s="19"/>
      <c r="G76" s="19"/>
      <c r="H76" s="38">
        <f t="shared" si="4"/>
        <v>30</v>
      </c>
    </row>
    <row r="77" spans="1:8" ht="15.75">
      <c r="A77" s="159" t="s">
        <v>144</v>
      </c>
      <c r="B77" s="19">
        <v>30</v>
      </c>
      <c r="C77" s="19"/>
      <c r="D77" s="19"/>
      <c r="E77" s="19"/>
      <c r="F77" s="19"/>
      <c r="G77" s="19"/>
      <c r="H77" s="38">
        <f t="shared" si="4"/>
        <v>30</v>
      </c>
    </row>
    <row r="78" spans="1:8" ht="15.75">
      <c r="A78" s="159" t="s">
        <v>14</v>
      </c>
      <c r="B78" s="19">
        <v>30</v>
      </c>
      <c r="C78" s="19"/>
      <c r="D78" s="19"/>
      <c r="E78" s="19"/>
      <c r="F78" s="19"/>
      <c r="G78" s="19"/>
      <c r="H78" s="38">
        <f t="shared" si="4"/>
        <v>30</v>
      </c>
    </row>
    <row r="79" spans="1:8" ht="15.75">
      <c r="A79" s="159" t="s">
        <v>30</v>
      </c>
      <c r="B79" s="18"/>
      <c r="C79" s="258"/>
      <c r="D79" s="258"/>
      <c r="E79" s="258"/>
      <c r="F79" s="258"/>
      <c r="G79" s="258"/>
      <c r="H79" s="38">
        <f t="shared" si="4"/>
        <v>0</v>
      </c>
    </row>
    <row r="80" spans="1:8" ht="15.75">
      <c r="A80" s="159" t="s">
        <v>31</v>
      </c>
      <c r="B80" s="18">
        <v>300</v>
      </c>
      <c r="C80" s="19"/>
      <c r="D80" s="19"/>
      <c r="E80" s="19"/>
      <c r="F80" s="19"/>
      <c r="G80" s="19"/>
      <c r="H80" s="38">
        <f t="shared" si="4"/>
        <v>300</v>
      </c>
    </row>
    <row r="81" spans="1:8" ht="15.75">
      <c r="A81" s="159" t="s">
        <v>32</v>
      </c>
      <c r="B81" s="18">
        <v>300</v>
      </c>
      <c r="C81" s="19"/>
      <c r="D81" s="19"/>
      <c r="E81" s="19"/>
      <c r="F81" s="19"/>
      <c r="G81" s="19"/>
      <c r="H81" s="38">
        <f t="shared" si="4"/>
        <v>300</v>
      </c>
    </row>
    <row r="82" spans="1:8" ht="15.75">
      <c r="A82" s="159" t="s">
        <v>33</v>
      </c>
      <c r="B82" s="18"/>
      <c r="C82" s="258"/>
      <c r="D82" s="258"/>
      <c r="E82" s="258"/>
      <c r="F82" s="258"/>
      <c r="G82" s="258"/>
      <c r="H82" s="38">
        <f t="shared" si="4"/>
        <v>0</v>
      </c>
    </row>
    <row r="83" spans="1:8" ht="15.75">
      <c r="A83" s="159" t="s">
        <v>34</v>
      </c>
      <c r="B83" s="18"/>
      <c r="C83" s="258"/>
      <c r="D83" s="258"/>
      <c r="E83" s="258"/>
      <c r="F83" s="258"/>
      <c r="G83" s="258"/>
      <c r="H83" s="38">
        <f t="shared" si="4"/>
        <v>0</v>
      </c>
    </row>
    <row r="84" spans="1:8" ht="15.75">
      <c r="A84" s="159" t="s">
        <v>146</v>
      </c>
      <c r="B84" s="18">
        <v>50</v>
      </c>
      <c r="C84" s="19"/>
      <c r="D84" s="19"/>
      <c r="E84" s="19"/>
      <c r="F84" s="19"/>
      <c r="G84" s="19"/>
      <c r="H84" s="38">
        <f t="shared" si="4"/>
        <v>50</v>
      </c>
    </row>
    <row r="85" spans="1:8" ht="15.75">
      <c r="A85" s="177" t="s">
        <v>18</v>
      </c>
      <c r="B85" s="177">
        <f>SUM(B68:B84)</f>
        <v>1250</v>
      </c>
      <c r="C85" s="177">
        <f t="shared" si="5"/>
        <v>0</v>
      </c>
      <c r="D85" s="177">
        <f t="shared" si="5"/>
        <v>0</v>
      </c>
      <c r="E85" s="177">
        <f t="shared" si="5"/>
        <v>0</v>
      </c>
      <c r="F85" s="177">
        <f t="shared" si="5"/>
        <v>0</v>
      </c>
      <c r="G85" s="177">
        <f t="shared" si="5"/>
        <v>0</v>
      </c>
      <c r="H85" s="177">
        <f t="shared" si="4"/>
        <v>1250</v>
      </c>
    </row>
    <row r="87" spans="1:8" ht="18.75">
      <c r="A87" s="374" t="s">
        <v>224</v>
      </c>
      <c r="B87" s="375"/>
      <c r="C87" s="375"/>
      <c r="D87" s="375"/>
      <c r="E87" s="375"/>
      <c r="F87" s="375"/>
      <c r="G87" s="375"/>
      <c r="H87" s="376"/>
    </row>
    <row r="88" spans="1:8" ht="18.75">
      <c r="A88" s="257"/>
      <c r="B88" s="35">
        <v>2022</v>
      </c>
      <c r="C88" s="35">
        <v>2023</v>
      </c>
      <c r="D88" s="35">
        <v>2024</v>
      </c>
      <c r="E88" s="38">
        <v>2025</v>
      </c>
      <c r="F88" s="38">
        <v>2026</v>
      </c>
      <c r="G88" s="38">
        <v>2027</v>
      </c>
      <c r="H88" s="38" t="s">
        <v>0</v>
      </c>
    </row>
    <row r="89" spans="1:8" ht="15.75">
      <c r="A89" s="159" t="s">
        <v>16</v>
      </c>
      <c r="B89" s="18">
        <v>32346.112000000001</v>
      </c>
      <c r="C89" s="19"/>
      <c r="D89" s="19"/>
      <c r="E89" s="19"/>
      <c r="F89" s="19"/>
      <c r="G89" s="19"/>
      <c r="H89" s="38">
        <f t="shared" si="4"/>
        <v>32346.112000000001</v>
      </c>
    </row>
    <row r="90" spans="1:8" ht="15.75">
      <c r="A90" s="159" t="s">
        <v>137</v>
      </c>
      <c r="B90" s="18">
        <v>13241.196</v>
      </c>
      <c r="C90" s="19"/>
      <c r="D90" s="19"/>
      <c r="E90" s="19"/>
      <c r="F90" s="19"/>
      <c r="G90" s="19"/>
      <c r="H90" s="38">
        <f t="shared" si="4"/>
        <v>13241.196</v>
      </c>
    </row>
    <row r="91" spans="1:8" ht="15.75">
      <c r="A91" s="159" t="s">
        <v>5</v>
      </c>
      <c r="B91" s="18">
        <v>3387.953</v>
      </c>
      <c r="C91" s="19"/>
      <c r="D91" s="19"/>
      <c r="E91" s="19"/>
      <c r="F91" s="19"/>
      <c r="G91" s="19"/>
      <c r="H91" s="38">
        <f t="shared" si="4"/>
        <v>3387.953</v>
      </c>
    </row>
    <row r="92" spans="1:8" ht="15.75">
      <c r="A92" s="159" t="s">
        <v>7</v>
      </c>
      <c r="B92" s="18">
        <v>1678.643</v>
      </c>
      <c r="C92" s="19"/>
      <c r="D92" s="19"/>
      <c r="E92" s="19"/>
      <c r="F92" s="19"/>
      <c r="G92" s="19"/>
      <c r="H92" s="38">
        <f t="shared" si="4"/>
        <v>1678.643</v>
      </c>
    </row>
    <row r="93" spans="1:8" ht="15.75">
      <c r="A93" s="159" t="s">
        <v>8</v>
      </c>
      <c r="B93" s="18">
        <v>1678.643</v>
      </c>
      <c r="C93" s="19"/>
      <c r="D93" s="19"/>
      <c r="E93" s="19"/>
      <c r="F93" s="19"/>
      <c r="G93" s="19"/>
      <c r="H93" s="38">
        <f t="shared" si="4"/>
        <v>1678.643</v>
      </c>
    </row>
    <row r="94" spans="1:8" ht="15.75">
      <c r="A94" s="159" t="s">
        <v>9</v>
      </c>
      <c r="B94" s="18">
        <v>1678.643</v>
      </c>
      <c r="C94" s="19"/>
      <c r="D94" s="19"/>
      <c r="E94" s="19"/>
      <c r="F94" s="19"/>
      <c r="G94" s="19"/>
      <c r="H94" s="38">
        <f t="shared" si="4"/>
        <v>1678.643</v>
      </c>
    </row>
    <row r="95" spans="1:8" ht="15.75">
      <c r="A95" s="159" t="s">
        <v>140</v>
      </c>
      <c r="B95" s="18">
        <v>3723.681</v>
      </c>
      <c r="C95" s="19"/>
      <c r="D95" s="19"/>
      <c r="E95" s="19"/>
      <c r="F95" s="19"/>
      <c r="G95" s="19"/>
      <c r="H95" s="38">
        <f t="shared" si="4"/>
        <v>3723.681</v>
      </c>
    </row>
    <row r="96" spans="1:8" ht="15.75">
      <c r="A96" s="159" t="s">
        <v>11</v>
      </c>
      <c r="B96" s="18">
        <v>1678.643</v>
      </c>
      <c r="C96" s="19"/>
      <c r="D96" s="19"/>
      <c r="E96" s="19"/>
      <c r="F96" s="19"/>
      <c r="G96" s="19"/>
      <c r="H96" s="38">
        <f t="shared" si="4"/>
        <v>1678.643</v>
      </c>
    </row>
    <row r="97" spans="1:8" ht="15.75">
      <c r="A97" s="159" t="s">
        <v>12</v>
      </c>
      <c r="B97" s="18">
        <v>3387.953</v>
      </c>
      <c r="C97" s="19"/>
      <c r="D97" s="19"/>
      <c r="E97" s="19"/>
      <c r="F97" s="19"/>
      <c r="G97" s="19"/>
      <c r="H97" s="38">
        <f t="shared" si="4"/>
        <v>3387.953</v>
      </c>
    </row>
    <row r="98" spans="1:8" ht="15.75">
      <c r="A98" s="159" t="s">
        <v>144</v>
      </c>
      <c r="B98" s="18">
        <v>11711.921</v>
      </c>
      <c r="C98" s="19"/>
      <c r="D98" s="19"/>
      <c r="E98" s="19"/>
      <c r="F98" s="19"/>
      <c r="G98" s="19"/>
      <c r="H98" s="38">
        <f t="shared" si="4"/>
        <v>11711.921</v>
      </c>
    </row>
    <row r="99" spans="1:8" ht="15.75">
      <c r="A99" s="159" t="s">
        <v>14</v>
      </c>
      <c r="B99" s="18">
        <v>3387.953</v>
      </c>
      <c r="C99" s="19"/>
      <c r="D99" s="19"/>
      <c r="E99" s="19"/>
      <c r="F99" s="19"/>
      <c r="G99" s="19"/>
      <c r="H99" s="38">
        <f t="shared" si="4"/>
        <v>3387.953</v>
      </c>
    </row>
    <row r="100" spans="1:8" ht="15.75">
      <c r="A100" s="159" t="s">
        <v>30</v>
      </c>
      <c r="B100" s="18"/>
      <c r="C100" s="258"/>
      <c r="D100" s="258"/>
      <c r="E100" s="258"/>
      <c r="F100" s="258"/>
      <c r="G100" s="258"/>
      <c r="H100" s="38">
        <f t="shared" si="4"/>
        <v>0</v>
      </c>
    </row>
    <row r="101" spans="1:8" ht="15.75">
      <c r="A101" s="159" t="s">
        <v>31</v>
      </c>
      <c r="B101" s="18">
        <v>11034.33</v>
      </c>
      <c r="C101" s="19"/>
      <c r="D101" s="19"/>
      <c r="E101" s="19"/>
      <c r="F101" s="19"/>
      <c r="G101" s="19"/>
      <c r="H101" s="38">
        <f t="shared" si="4"/>
        <v>11034.33</v>
      </c>
    </row>
    <row r="102" spans="1:8" ht="15.75">
      <c r="A102" s="159" t="s">
        <v>32</v>
      </c>
      <c r="B102" s="18">
        <v>11034.33</v>
      </c>
      <c r="C102" s="19"/>
      <c r="D102" s="19"/>
      <c r="E102" s="19"/>
      <c r="F102" s="19"/>
      <c r="G102" s="19"/>
      <c r="H102" s="38">
        <f t="shared" si="4"/>
        <v>11034.33</v>
      </c>
    </row>
    <row r="103" spans="1:8" ht="15.75">
      <c r="A103" s="159" t="s">
        <v>33</v>
      </c>
      <c r="B103" s="18"/>
      <c r="C103" s="258"/>
      <c r="D103" s="258"/>
      <c r="E103" s="258"/>
      <c r="F103" s="258"/>
      <c r="G103" s="258"/>
      <c r="H103" s="38">
        <f t="shared" si="4"/>
        <v>0</v>
      </c>
    </row>
    <row r="104" spans="1:8" ht="15.75">
      <c r="A104" s="159" t="s">
        <v>34</v>
      </c>
      <c r="B104" s="18"/>
      <c r="C104" s="258"/>
      <c r="D104" s="258"/>
      <c r="E104" s="258"/>
      <c r="F104" s="258"/>
      <c r="G104" s="258"/>
      <c r="H104" s="38">
        <f t="shared" si="4"/>
        <v>0</v>
      </c>
    </row>
    <row r="105" spans="1:8" ht="15.75">
      <c r="A105" s="159" t="s">
        <v>146</v>
      </c>
      <c r="B105" s="18">
        <v>30</v>
      </c>
      <c r="C105" s="19"/>
      <c r="D105" s="19"/>
      <c r="E105" s="19"/>
      <c r="F105" s="19"/>
      <c r="G105" s="19"/>
      <c r="H105" s="38">
        <f t="shared" si="4"/>
        <v>30</v>
      </c>
    </row>
    <row r="106" spans="1:8" ht="15.75">
      <c r="A106" s="177" t="s">
        <v>18</v>
      </c>
      <c r="B106" s="177">
        <f>SUM(B89:B105)</f>
        <v>100000.00099999999</v>
      </c>
      <c r="C106" s="177">
        <f t="shared" ref="C106:G106" si="6">SUM(C89:C105)</f>
        <v>0</v>
      </c>
      <c r="D106" s="177">
        <f t="shared" si="6"/>
        <v>0</v>
      </c>
      <c r="E106" s="177">
        <f t="shared" si="6"/>
        <v>0</v>
      </c>
      <c r="F106" s="177">
        <f t="shared" si="6"/>
        <v>0</v>
      </c>
      <c r="G106" s="177">
        <f t="shared" si="6"/>
        <v>0</v>
      </c>
      <c r="H106" s="177">
        <f t="shared" si="4"/>
        <v>100000.00099999999</v>
      </c>
    </row>
    <row r="108" spans="1:8" ht="15.75">
      <c r="A108" s="259" t="s">
        <v>225</v>
      </c>
      <c r="B108" s="260" t="s">
        <v>226</v>
      </c>
      <c r="C108" s="260" t="s">
        <v>227</v>
      </c>
      <c r="D108" s="260" t="s">
        <v>228</v>
      </c>
      <c r="E108" s="260" t="s">
        <v>0</v>
      </c>
    </row>
    <row r="109" spans="1:8" ht="15.75">
      <c r="A109" s="159" t="s">
        <v>16</v>
      </c>
      <c r="B109" s="19">
        <v>7934.982</v>
      </c>
      <c r="C109" s="18">
        <v>32346.112000000001</v>
      </c>
      <c r="D109" s="18">
        <v>300</v>
      </c>
      <c r="E109" s="18">
        <f t="shared" ref="E109:E125" si="7">SUM(B109:D109)</f>
        <v>40581.093999999997</v>
      </c>
    </row>
    <row r="110" spans="1:8" ht="15.75">
      <c r="A110" s="159" t="s">
        <v>137</v>
      </c>
      <c r="B110" s="19">
        <v>6126.3119999999999</v>
      </c>
      <c r="C110" s="18">
        <v>13241.196</v>
      </c>
      <c r="D110" s="19">
        <v>30</v>
      </c>
      <c r="E110" s="19">
        <f t="shared" si="7"/>
        <v>19397.508000000002</v>
      </c>
    </row>
    <row r="111" spans="1:8" ht="15.75">
      <c r="A111" s="159" t="s">
        <v>5</v>
      </c>
      <c r="B111" s="19">
        <v>1045.0039999999999</v>
      </c>
      <c r="C111" s="18">
        <v>3387.953</v>
      </c>
      <c r="D111" s="19">
        <v>30</v>
      </c>
      <c r="E111" s="19">
        <f t="shared" si="7"/>
        <v>4462.9570000000003</v>
      </c>
    </row>
    <row r="112" spans="1:8" ht="15.75">
      <c r="A112" s="159" t="s">
        <v>7</v>
      </c>
      <c r="B112" s="19">
        <v>517.77200000000005</v>
      </c>
      <c r="C112" s="18">
        <v>1678.643</v>
      </c>
      <c r="D112" s="19">
        <v>30</v>
      </c>
      <c r="E112" s="19">
        <f t="shared" si="7"/>
        <v>2226.415</v>
      </c>
    </row>
    <row r="113" spans="1:5" ht="15.75">
      <c r="A113" s="159" t="s">
        <v>8</v>
      </c>
      <c r="B113" s="19">
        <v>517.77200000000005</v>
      </c>
      <c r="C113" s="18">
        <v>1678.643</v>
      </c>
      <c r="D113" s="19">
        <v>30</v>
      </c>
      <c r="E113" s="19">
        <f t="shared" si="7"/>
        <v>2226.415</v>
      </c>
    </row>
    <row r="114" spans="1:5" ht="15.75">
      <c r="A114" s="159" t="s">
        <v>9</v>
      </c>
      <c r="B114" s="19">
        <v>517.77200000000005</v>
      </c>
      <c r="C114" s="18">
        <v>1678.643</v>
      </c>
      <c r="D114" s="19">
        <v>30</v>
      </c>
      <c r="E114" s="19">
        <f t="shared" si="7"/>
        <v>2226.415</v>
      </c>
    </row>
    <row r="115" spans="1:5" ht="15.75">
      <c r="A115" s="159" t="s">
        <v>140</v>
      </c>
      <c r="B115" s="19">
        <v>1148.559</v>
      </c>
      <c r="C115" s="18">
        <v>3723.681</v>
      </c>
      <c r="D115" s="19">
        <v>30</v>
      </c>
      <c r="E115" s="19">
        <f t="shared" si="7"/>
        <v>4902.24</v>
      </c>
    </row>
    <row r="116" spans="1:5" ht="15.75">
      <c r="A116" s="159" t="s">
        <v>11</v>
      </c>
      <c r="B116" s="19">
        <v>517.77200000000005</v>
      </c>
      <c r="C116" s="18">
        <v>1678.643</v>
      </c>
      <c r="D116" s="19">
        <v>30</v>
      </c>
      <c r="E116" s="19">
        <f t="shared" si="7"/>
        <v>2226.415</v>
      </c>
    </row>
    <row r="117" spans="1:5" ht="15.75">
      <c r="A117" s="159" t="s">
        <v>12</v>
      </c>
      <c r="B117" s="19">
        <v>1045.0039999999999</v>
      </c>
      <c r="C117" s="18">
        <v>3387.953</v>
      </c>
      <c r="D117" s="19">
        <v>30</v>
      </c>
      <c r="E117" s="19">
        <f t="shared" si="7"/>
        <v>4462.9570000000003</v>
      </c>
    </row>
    <row r="118" spans="1:5" ht="15.75">
      <c r="A118" s="159" t="s">
        <v>144</v>
      </c>
      <c r="B118" s="19">
        <v>3612.5070000000001</v>
      </c>
      <c r="C118" s="18">
        <v>11711.921</v>
      </c>
      <c r="D118" s="19">
        <v>30</v>
      </c>
      <c r="E118" s="19">
        <f t="shared" si="7"/>
        <v>15354.428</v>
      </c>
    </row>
    <row r="119" spans="1:5" ht="15.75">
      <c r="A119" s="159" t="s">
        <v>14</v>
      </c>
      <c r="B119" s="19">
        <v>1045.0039999999999</v>
      </c>
      <c r="C119" s="18">
        <v>3387.953</v>
      </c>
      <c r="D119" s="19">
        <v>30</v>
      </c>
      <c r="E119" s="19">
        <f t="shared" si="7"/>
        <v>4462.9570000000003</v>
      </c>
    </row>
    <row r="120" spans="1:5" ht="15.75">
      <c r="A120" s="159" t="s">
        <v>30</v>
      </c>
      <c r="B120" s="258" t="s">
        <v>6</v>
      </c>
      <c r="C120" s="18"/>
      <c r="D120" s="18"/>
      <c r="E120" s="18">
        <f t="shared" si="7"/>
        <v>0</v>
      </c>
    </row>
    <row r="121" spans="1:5" ht="15.75">
      <c r="A121" s="159" t="s">
        <v>31</v>
      </c>
      <c r="B121" s="19">
        <v>3403.5059999999999</v>
      </c>
      <c r="C121" s="18">
        <v>11034.33</v>
      </c>
      <c r="D121" s="18">
        <v>300</v>
      </c>
      <c r="E121" s="18">
        <f t="shared" si="7"/>
        <v>14737.835999999999</v>
      </c>
    </row>
    <row r="122" spans="1:5" ht="15.75">
      <c r="A122" s="159" t="s">
        <v>32</v>
      </c>
      <c r="B122" s="19">
        <v>3403.5059999999999</v>
      </c>
      <c r="C122" s="18">
        <v>11034.33</v>
      </c>
      <c r="D122" s="18">
        <v>300</v>
      </c>
      <c r="E122" s="18">
        <f t="shared" si="7"/>
        <v>14737.835999999999</v>
      </c>
    </row>
    <row r="123" spans="1:5" ht="15.75">
      <c r="A123" s="159" t="s">
        <v>33</v>
      </c>
      <c r="B123" s="258" t="s">
        <v>6</v>
      </c>
      <c r="C123" s="18"/>
      <c r="D123" s="18"/>
      <c r="E123" s="18">
        <f t="shared" si="7"/>
        <v>0</v>
      </c>
    </row>
    <row r="124" spans="1:5" ht="15.75">
      <c r="A124" s="159" t="s">
        <v>34</v>
      </c>
      <c r="B124" s="258" t="s">
        <v>6</v>
      </c>
      <c r="C124" s="18"/>
      <c r="D124" s="18"/>
      <c r="E124" s="18">
        <f t="shared" si="7"/>
        <v>0</v>
      </c>
    </row>
    <row r="125" spans="1:5" ht="15.75">
      <c r="A125" s="159" t="s">
        <v>146</v>
      </c>
      <c r="B125" s="19">
        <v>9</v>
      </c>
      <c r="C125" s="18">
        <v>30</v>
      </c>
      <c r="D125" s="18">
        <v>50</v>
      </c>
      <c r="E125" s="18">
        <f t="shared" si="7"/>
        <v>89</v>
      </c>
    </row>
    <row r="126" spans="1:5" ht="15.75">
      <c r="A126" s="159" t="s">
        <v>18</v>
      </c>
      <c r="B126" s="19">
        <f>SUM(B109:B125)</f>
        <v>30844.472000000009</v>
      </c>
      <c r="C126" s="19">
        <f t="shared" ref="C126:E126" si="8">SUM(C109:C125)</f>
        <v>100000.00099999999</v>
      </c>
      <c r="D126" s="19">
        <f t="shared" si="8"/>
        <v>1250</v>
      </c>
      <c r="E126" s="19">
        <f t="shared" si="8"/>
        <v>132094.47299999997</v>
      </c>
    </row>
  </sheetData>
  <mergeCells count="5">
    <mergeCell ref="A1:H1"/>
    <mergeCell ref="A21:H21"/>
    <mergeCell ref="A43:H43"/>
    <mergeCell ref="A66:H66"/>
    <mergeCell ref="A87:H87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2"/>
  </sheetPr>
  <dimension ref="A1:G27"/>
  <sheetViews>
    <sheetView zoomScale="71" workbookViewId="0">
      <selection activeCell="D27" sqref="D27"/>
    </sheetView>
  </sheetViews>
  <sheetFormatPr defaultColWidth="8.85546875" defaultRowHeight="15"/>
  <cols>
    <col min="1" max="1" width="24.42578125" style="261" customWidth="1"/>
    <col min="2" max="2" width="11.140625" style="262" customWidth="1"/>
    <col min="3" max="3" width="17" style="262" customWidth="1"/>
    <col min="4" max="4" width="16" style="262" customWidth="1"/>
    <col min="5" max="5" width="16.85546875" style="262" customWidth="1"/>
    <col min="6" max="6" width="19.140625" style="262" customWidth="1"/>
    <col min="7" max="7" width="18" style="262" customWidth="1"/>
  </cols>
  <sheetData>
    <row r="1" spans="1:7" ht="41.25" customHeight="1">
      <c r="A1" s="374" t="s">
        <v>229</v>
      </c>
      <c r="B1" s="375"/>
      <c r="C1" s="375"/>
      <c r="D1" s="375"/>
      <c r="E1" s="375"/>
      <c r="F1" s="375"/>
      <c r="G1" s="375"/>
    </row>
    <row r="2" spans="1:7" ht="15.75">
      <c r="A2" s="263" t="s">
        <v>164</v>
      </c>
      <c r="B2" s="264" t="s">
        <v>230</v>
      </c>
      <c r="C2" s="264" t="s">
        <v>231</v>
      </c>
      <c r="D2" s="264" t="s">
        <v>232</v>
      </c>
      <c r="E2" s="264" t="s">
        <v>233</v>
      </c>
      <c r="F2" s="264" t="s">
        <v>234</v>
      </c>
      <c r="G2" s="264" t="s">
        <v>235</v>
      </c>
    </row>
    <row r="3" spans="1:7" ht="15.75">
      <c r="A3" s="263" t="s">
        <v>236</v>
      </c>
      <c r="B3" s="265">
        <v>8278620</v>
      </c>
      <c r="C3" s="19">
        <v>14925750</v>
      </c>
      <c r="D3" s="19">
        <v>3906723.9380570198</v>
      </c>
      <c r="E3" s="19">
        <v>3906723.94</v>
      </c>
      <c r="F3" s="19">
        <v>781344.79</v>
      </c>
      <c r="G3" s="19">
        <v>4688068.7300000004</v>
      </c>
    </row>
    <row r="4" spans="1:7" ht="47.25">
      <c r="A4" s="263" t="s">
        <v>237</v>
      </c>
      <c r="B4" s="265">
        <v>3089214</v>
      </c>
      <c r="C4" s="19">
        <v>3940637.4896341725</v>
      </c>
      <c r="D4" s="19">
        <v>1457816.1920200321</v>
      </c>
      <c r="E4" s="19">
        <v>5398453.6799999997</v>
      </c>
      <c r="F4" s="19">
        <v>1079690.74</v>
      </c>
      <c r="G4" s="19">
        <v>6478144.4199999999</v>
      </c>
    </row>
    <row r="5" spans="1:7" ht="15.75">
      <c r="A5" s="263" t="s">
        <v>238</v>
      </c>
      <c r="B5" s="265">
        <v>1676041</v>
      </c>
      <c r="C5" s="19">
        <v>2137977.4916091757</v>
      </c>
      <c r="D5" s="19">
        <v>790932.48583278677</v>
      </c>
      <c r="E5" s="19">
        <v>2928909.98</v>
      </c>
      <c r="F5" s="19">
        <v>585782</v>
      </c>
      <c r="G5" s="19">
        <v>3514691.98</v>
      </c>
    </row>
    <row r="6" spans="1:7" ht="15.75">
      <c r="A6" s="263" t="s">
        <v>239</v>
      </c>
      <c r="B6" s="265">
        <v>458770</v>
      </c>
      <c r="C6" s="19">
        <v>585212.37477218127</v>
      </c>
      <c r="D6" s="19">
        <v>216495.9547681158</v>
      </c>
      <c r="E6" s="19">
        <v>801708.33</v>
      </c>
      <c r="F6" s="19">
        <v>160341.67000000001</v>
      </c>
      <c r="G6" s="19">
        <v>962050</v>
      </c>
    </row>
    <row r="7" spans="1:7" ht="15.75">
      <c r="A7" s="263" t="s">
        <v>240</v>
      </c>
      <c r="B7" s="265">
        <v>680941</v>
      </c>
      <c r="C7" s="19">
        <v>868616.29943052924</v>
      </c>
      <c r="D7" s="19">
        <v>321339.60794244509</v>
      </c>
      <c r="E7" s="19">
        <v>1189955.9099999999</v>
      </c>
      <c r="F7" s="19">
        <v>237991.18</v>
      </c>
      <c r="G7" s="19">
        <v>1427947.0899999999</v>
      </c>
    </row>
    <row r="8" spans="1:7" ht="15.75">
      <c r="A8" s="263" t="s">
        <v>241</v>
      </c>
      <c r="B8" s="265">
        <v>450586</v>
      </c>
      <c r="C8" s="19">
        <v>574772.76870566537</v>
      </c>
      <c r="D8" s="19">
        <v>212633.88250135412</v>
      </c>
      <c r="E8" s="19">
        <v>787406.65</v>
      </c>
      <c r="F8" s="19">
        <v>157481.32999999999</v>
      </c>
      <c r="G8" s="19">
        <v>944887.98</v>
      </c>
    </row>
    <row r="9" spans="1:7" ht="15.75">
      <c r="A9" s="263" t="s">
        <v>242</v>
      </c>
      <c r="B9" s="265">
        <v>712786</v>
      </c>
      <c r="C9" s="19">
        <v>909238.15368128696</v>
      </c>
      <c r="D9" s="19">
        <v>336367.42946432024</v>
      </c>
      <c r="E9" s="19">
        <v>1245605.58</v>
      </c>
      <c r="F9" s="19">
        <v>249121.12</v>
      </c>
      <c r="G9" s="19">
        <v>1494726.7000000002</v>
      </c>
    </row>
    <row r="10" spans="1:7" ht="31.5">
      <c r="A10" s="263" t="s">
        <v>243</v>
      </c>
      <c r="B10" s="265">
        <v>341894</v>
      </c>
      <c r="C10" s="19">
        <v>436123.98295520665</v>
      </c>
      <c r="D10" s="19">
        <v>161341.56104254897</v>
      </c>
      <c r="E10" s="19">
        <v>597465.54</v>
      </c>
      <c r="F10" s="19">
        <v>119493.11</v>
      </c>
      <c r="G10" s="19">
        <v>716958.65</v>
      </c>
    </row>
    <row r="11" spans="1:7" ht="15.75">
      <c r="A11" s="263" t="s">
        <v>244</v>
      </c>
      <c r="B11" s="265">
        <v>502919</v>
      </c>
      <c r="C11" s="19">
        <v>641529.35525001772</v>
      </c>
      <c r="D11" s="19">
        <v>237330.09803610967</v>
      </c>
      <c r="E11" s="19">
        <v>878859.45</v>
      </c>
      <c r="F11" s="19">
        <v>175771.89</v>
      </c>
      <c r="G11" s="19">
        <v>1054631.3399999999</v>
      </c>
    </row>
    <row r="12" spans="1:7" ht="47.25">
      <c r="A12" s="263" t="s">
        <v>245</v>
      </c>
      <c r="B12" s="265">
        <v>262958</v>
      </c>
      <c r="C12" s="19">
        <v>335432.29863623006</v>
      </c>
      <c r="D12" s="19">
        <v>124091.25111475073</v>
      </c>
      <c r="E12" s="19">
        <v>459523.55</v>
      </c>
      <c r="F12" s="19">
        <v>91904.71</v>
      </c>
      <c r="G12" s="19">
        <v>551428.26</v>
      </c>
    </row>
    <row r="13" spans="1:7" ht="47.25">
      <c r="A13" s="263" t="s">
        <v>246</v>
      </c>
      <c r="B13" s="265">
        <v>899967</v>
      </c>
      <c r="C13" s="19">
        <v>1148008.425325535</v>
      </c>
      <c r="D13" s="19">
        <v>424699.11922051763</v>
      </c>
      <c r="E13" s="19">
        <v>1572707.54</v>
      </c>
      <c r="F13" s="19">
        <v>314541.51</v>
      </c>
      <c r="G13" s="19">
        <v>1887249.05</v>
      </c>
    </row>
    <row r="14" spans="1:7" ht="15.75">
      <c r="A14" s="266" t="s">
        <v>247</v>
      </c>
      <c r="B14" s="265"/>
      <c r="C14" s="19"/>
      <c r="D14" s="19">
        <v>8189771.5200000014</v>
      </c>
      <c r="E14" s="19">
        <v>19767320.149999999</v>
      </c>
      <c r="F14" s="19">
        <v>3953464.0500000007</v>
      </c>
      <c r="G14" s="19">
        <v>23720784.199999999</v>
      </c>
    </row>
    <row r="15" spans="1:7" ht="30">
      <c r="A15" s="266" t="s">
        <v>248</v>
      </c>
      <c r="B15" s="265"/>
      <c r="C15" s="19">
        <v>11577548.640000001</v>
      </c>
      <c r="D15" s="19"/>
      <c r="E15" s="19"/>
      <c r="F15" s="19"/>
      <c r="G15" s="19"/>
    </row>
    <row r="16" spans="1:7" hidden="1">
      <c r="C16" s="267">
        <v>1.27561168945699</v>
      </c>
      <c r="D16" s="267">
        <v>0.47190521343617897</v>
      </c>
      <c r="E16" s="262">
        <v>15860596.210000001</v>
      </c>
      <c r="F16" s="262">
        <v>3172119.26</v>
      </c>
      <c r="G16" s="262">
        <v>19032715.470000003</v>
      </c>
    </row>
    <row r="17" spans="1:7" hidden="1">
      <c r="C17" s="267" t="s">
        <v>249</v>
      </c>
      <c r="D17" s="267" t="s">
        <v>250</v>
      </c>
      <c r="E17" s="262" t="s">
        <v>251</v>
      </c>
    </row>
    <row r="18" spans="1:7" ht="30">
      <c r="A18" s="266" t="s">
        <v>252</v>
      </c>
      <c r="B18" s="265"/>
      <c r="C18" s="19">
        <f>C3+C15</f>
        <v>26503298.640000001</v>
      </c>
      <c r="D18" s="19"/>
      <c r="E18" s="19"/>
      <c r="F18" s="19"/>
      <c r="G18" s="19"/>
    </row>
    <row r="19" spans="1:7">
      <c r="C19" s="267">
        <f>ROUNDUP(C16,2)</f>
        <v>1.28</v>
      </c>
      <c r="D19" s="267">
        <f>ROUNDUP(D16,2)</f>
        <v>0.48</v>
      </c>
    </row>
    <row r="20" spans="1:7" ht="45">
      <c r="C20" s="268" t="s">
        <v>249</v>
      </c>
      <c r="D20" s="268" t="s">
        <v>250</v>
      </c>
    </row>
    <row r="24" spans="1:7">
      <c r="C24" s="269">
        <f>C8+D8</f>
        <v>787406.65120701946</v>
      </c>
    </row>
    <row r="25" spans="1:7">
      <c r="C25" s="269">
        <f>'БП (Тех. поддержка)'!F207+'БП (Тех. поддержка)'!F226</f>
        <v>2211.308</v>
      </c>
    </row>
    <row r="26" spans="1:7">
      <c r="D26" s="269">
        <f>C24/1000</f>
        <v>787.40665120701942</v>
      </c>
    </row>
    <row r="27" spans="1:7">
      <c r="D27" s="269">
        <f>C25+D26</f>
        <v>2998.7146512070194</v>
      </c>
    </row>
  </sheetData>
  <mergeCells count="1">
    <mergeCell ref="A1:G1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4"/>
  <sheetViews>
    <sheetView zoomScale="70" workbookViewId="0">
      <selection activeCell="B14" sqref="B14:B28"/>
    </sheetView>
  </sheetViews>
  <sheetFormatPr defaultColWidth="9.140625" defaultRowHeight="15.75"/>
  <cols>
    <col min="1" max="1" width="4.7109375" customWidth="1"/>
    <col min="2" max="2" width="65" customWidth="1"/>
    <col min="3" max="3" width="18.140625" style="26" customWidth="1"/>
    <col min="4" max="4" width="18.7109375" style="26" customWidth="1"/>
    <col min="5" max="5" width="19.7109375" style="26" customWidth="1"/>
    <col min="6" max="6" width="19.42578125" style="26" customWidth="1"/>
    <col min="7" max="9" width="19.85546875" style="26" customWidth="1"/>
    <col min="10" max="10" width="9.7109375" bestFit="1" customWidth="1"/>
    <col min="11" max="11" width="11.140625" bestFit="1" customWidth="1"/>
  </cols>
  <sheetData>
    <row r="1" spans="1:9" ht="18.75">
      <c r="A1" s="427"/>
      <c r="B1" s="427"/>
      <c r="C1" s="427"/>
      <c r="D1" s="427"/>
      <c r="E1" s="427"/>
      <c r="F1" s="427"/>
      <c r="G1" s="427"/>
      <c r="H1" s="427"/>
      <c r="I1" s="262"/>
    </row>
    <row r="2" spans="1:9">
      <c r="A2" s="2"/>
      <c r="B2" s="3"/>
      <c r="C2" s="28"/>
      <c r="D2" s="28"/>
      <c r="E2" s="28"/>
      <c r="F2" s="28"/>
      <c r="G2" s="28"/>
      <c r="H2" s="28"/>
      <c r="I2" s="28"/>
    </row>
    <row r="3" spans="1:9">
      <c r="A3" s="2"/>
      <c r="B3" s="3"/>
      <c r="C3" s="28"/>
      <c r="D3" s="28"/>
      <c r="E3" s="28"/>
      <c r="F3" s="28"/>
      <c r="G3" s="28"/>
      <c r="H3" s="28"/>
      <c r="I3" s="28"/>
    </row>
    <row r="4" spans="1:9" ht="15">
      <c r="A4" s="364" t="s">
        <v>253</v>
      </c>
      <c r="B4" s="365"/>
      <c r="C4" s="365"/>
      <c r="D4" s="365"/>
      <c r="E4" s="365"/>
      <c r="F4" s="365"/>
      <c r="G4" s="365"/>
      <c r="H4" s="365"/>
      <c r="I4" s="262"/>
    </row>
    <row r="5" spans="1:9" ht="15">
      <c r="A5" s="365"/>
      <c r="B5" s="365"/>
      <c r="C5" s="365"/>
      <c r="D5" s="365"/>
      <c r="E5" s="365"/>
      <c r="F5" s="365"/>
      <c r="G5" s="365"/>
      <c r="H5" s="365"/>
      <c r="I5" s="262"/>
    </row>
    <row r="6" spans="1:9" ht="15">
      <c r="A6" s="365"/>
      <c r="B6" s="365"/>
      <c r="C6" s="365"/>
      <c r="D6" s="365"/>
      <c r="E6" s="365"/>
      <c r="F6" s="365"/>
      <c r="G6" s="365"/>
      <c r="H6" s="365"/>
      <c r="I6" s="262"/>
    </row>
    <row r="7" spans="1:9" ht="15">
      <c r="A7" s="365"/>
      <c r="B7" s="365"/>
      <c r="C7" s="365"/>
      <c r="D7" s="365"/>
      <c r="E7" s="365"/>
      <c r="F7" s="365"/>
      <c r="G7" s="365"/>
      <c r="H7" s="365"/>
      <c r="I7" s="262"/>
    </row>
    <row r="8" spans="1:9" ht="15">
      <c r="A8" s="365"/>
      <c r="B8" s="365"/>
      <c r="C8" s="365"/>
      <c r="D8" s="365"/>
      <c r="E8" s="365"/>
      <c r="F8" s="365"/>
      <c r="G8" s="365"/>
      <c r="H8" s="365"/>
      <c r="I8" s="262"/>
    </row>
    <row r="9" spans="1:9" ht="15">
      <c r="A9" s="365"/>
      <c r="B9" s="365"/>
      <c r="C9" s="365"/>
      <c r="D9" s="365"/>
      <c r="E9" s="365"/>
      <c r="F9" s="365"/>
      <c r="G9" s="365"/>
      <c r="H9" s="365"/>
      <c r="I9" s="262"/>
    </row>
    <row r="10" spans="1:9" ht="15">
      <c r="A10" s="365"/>
      <c r="B10" s="365"/>
      <c r="C10" s="365"/>
      <c r="D10" s="365"/>
      <c r="E10" s="365"/>
      <c r="F10" s="365"/>
      <c r="G10" s="365"/>
      <c r="H10" s="365"/>
      <c r="I10" s="262"/>
    </row>
    <row r="11" spans="1:9" ht="15">
      <c r="A11" s="366"/>
      <c r="B11" s="366"/>
      <c r="C11" s="366"/>
      <c r="D11" s="366"/>
      <c r="E11" s="366"/>
      <c r="F11" s="366"/>
      <c r="G11" s="366"/>
      <c r="H11" s="366"/>
      <c r="I11" s="262"/>
    </row>
    <row r="12" spans="1:9" ht="18.75">
      <c r="A12" s="399"/>
      <c r="B12" s="400"/>
      <c r="C12" s="38">
        <v>2022</v>
      </c>
      <c r="D12" s="38">
        <v>2023</v>
      </c>
      <c r="E12" s="38">
        <v>2024</v>
      </c>
      <c r="F12" s="38">
        <v>2025</v>
      </c>
      <c r="G12" s="38">
        <v>2026</v>
      </c>
      <c r="H12" s="38" t="s">
        <v>0</v>
      </c>
      <c r="I12" s="38"/>
    </row>
    <row r="13" spans="1:9" ht="18.75">
      <c r="A13" s="368" t="s">
        <v>67</v>
      </c>
      <c r="B13" s="414" t="s">
        <v>254</v>
      </c>
      <c r="C13" s="415"/>
      <c r="D13" s="415"/>
      <c r="E13" s="415"/>
      <c r="F13" s="415"/>
      <c r="G13" s="415"/>
      <c r="H13" s="415"/>
      <c r="I13" s="262"/>
    </row>
    <row r="14" spans="1:9" ht="47.25">
      <c r="A14" s="368"/>
      <c r="B14" s="47" t="s">
        <v>255</v>
      </c>
      <c r="C14" s="270">
        <v>9714.0480000000007</v>
      </c>
      <c r="D14" s="270">
        <v>10076.16</v>
      </c>
      <c r="E14" s="270">
        <v>10450.08</v>
      </c>
      <c r="F14" s="270">
        <v>10839.744000000001</v>
      </c>
      <c r="G14" s="270">
        <v>11241.216</v>
      </c>
      <c r="H14" s="271">
        <f t="shared" ref="H14:H32" si="0">SUM(C14:G14)</f>
        <v>52321.248</v>
      </c>
      <c r="I14" s="270" t="s">
        <v>256</v>
      </c>
    </row>
    <row r="15" spans="1:9" ht="47.25">
      <c r="A15" s="368"/>
      <c r="B15" s="47" t="s">
        <v>257</v>
      </c>
      <c r="C15" s="270">
        <v>7581.6959999999999</v>
      </c>
      <c r="D15" s="270">
        <v>7864.32</v>
      </c>
      <c r="E15" s="270">
        <v>8156.16</v>
      </c>
      <c r="F15" s="270">
        <v>8460.2880000000005</v>
      </c>
      <c r="G15" s="270">
        <v>8773.6319999999996</v>
      </c>
      <c r="H15" s="271">
        <f t="shared" si="0"/>
        <v>40836.095999999998</v>
      </c>
      <c r="I15" s="270" t="s">
        <v>258</v>
      </c>
    </row>
    <row r="16" spans="1:9" ht="47.25">
      <c r="A16" s="368"/>
      <c r="B16" s="47" t="s">
        <v>259</v>
      </c>
      <c r="C16" s="270">
        <v>9240.1919999999991</v>
      </c>
      <c r="D16" s="270">
        <v>9584.64</v>
      </c>
      <c r="E16" s="270">
        <v>9940.32</v>
      </c>
      <c r="F16" s="270">
        <v>10310.976000000001</v>
      </c>
      <c r="G16" s="270">
        <v>10692.864</v>
      </c>
      <c r="H16" s="271">
        <f t="shared" si="0"/>
        <v>49768.991999999998</v>
      </c>
      <c r="I16" s="270" t="s">
        <v>258</v>
      </c>
    </row>
    <row r="17" spans="1:11" ht="47.25">
      <c r="A17" s="368"/>
      <c r="B17" s="272" t="s">
        <v>260</v>
      </c>
      <c r="C17" s="270">
        <v>1184.6400000000001</v>
      </c>
      <c r="D17" s="270">
        <v>1228.8</v>
      </c>
      <c r="E17" s="270">
        <v>1274.4000000000001</v>
      </c>
      <c r="F17" s="270">
        <v>1321.92</v>
      </c>
      <c r="G17" s="270">
        <v>1370.88</v>
      </c>
      <c r="H17" s="271">
        <f t="shared" si="0"/>
        <v>6380.64</v>
      </c>
      <c r="I17" s="270" t="s">
        <v>261</v>
      </c>
    </row>
    <row r="18" spans="1:11" ht="47.25">
      <c r="A18" s="368"/>
      <c r="B18" s="47" t="s">
        <v>262</v>
      </c>
      <c r="C18" s="270">
        <v>3553.92</v>
      </c>
      <c r="D18" s="270">
        <v>3686.4</v>
      </c>
      <c r="E18" s="270">
        <v>3823.2</v>
      </c>
      <c r="F18" s="270">
        <v>3965.76</v>
      </c>
      <c r="G18" s="270">
        <v>4112.6400000000003</v>
      </c>
      <c r="H18" s="271">
        <f t="shared" si="0"/>
        <v>19141.920000000002</v>
      </c>
      <c r="I18" s="270" t="s">
        <v>261</v>
      </c>
    </row>
    <row r="19" spans="1:11" ht="47.25">
      <c r="A19" s="368"/>
      <c r="B19" s="47" t="s">
        <v>263</v>
      </c>
      <c r="C19" s="270">
        <v>6633.9840000000004</v>
      </c>
      <c r="D19" s="270">
        <v>6881.28</v>
      </c>
      <c r="E19" s="270">
        <v>7136.64</v>
      </c>
      <c r="F19" s="270">
        <v>7402.7520000000004</v>
      </c>
      <c r="G19" s="270">
        <v>7676.9279999999999</v>
      </c>
      <c r="H19" s="271">
        <f t="shared" si="0"/>
        <v>35731.584000000003</v>
      </c>
      <c r="I19" s="270" t="s">
        <v>261</v>
      </c>
    </row>
    <row r="20" spans="1:11" ht="47.25">
      <c r="A20" s="368"/>
      <c r="B20" s="47" t="s">
        <v>264</v>
      </c>
      <c r="C20" s="270">
        <v>7818.6239999999998</v>
      </c>
      <c r="D20" s="270">
        <v>8110.08</v>
      </c>
      <c r="E20" s="270">
        <v>8411.0400000000009</v>
      </c>
      <c r="F20" s="270">
        <v>8724.6720000000005</v>
      </c>
      <c r="G20" s="270">
        <v>9047.8080000000009</v>
      </c>
      <c r="H20" s="271">
        <f t="shared" si="0"/>
        <v>42112.224000000002</v>
      </c>
      <c r="I20" s="270" t="s">
        <v>258</v>
      </c>
    </row>
    <row r="21" spans="1:11" ht="47.25">
      <c r="A21" s="368"/>
      <c r="B21" s="47" t="s">
        <v>265</v>
      </c>
      <c r="C21" s="270">
        <v>2606.2080000000001</v>
      </c>
      <c r="D21" s="270">
        <v>2703.36</v>
      </c>
      <c r="E21" s="270">
        <v>2803.68</v>
      </c>
      <c r="F21" s="270">
        <v>2908.2240000000002</v>
      </c>
      <c r="G21" s="270">
        <v>3015.9360000000001</v>
      </c>
      <c r="H21" s="271">
        <f t="shared" si="0"/>
        <v>14037.407999999999</v>
      </c>
      <c r="I21" s="270" t="s">
        <v>258</v>
      </c>
    </row>
    <row r="22" spans="1:11" ht="47.25">
      <c r="A22" s="368"/>
      <c r="B22" s="47" t="s">
        <v>266</v>
      </c>
      <c r="C22" s="270">
        <v>9003.2639999999992</v>
      </c>
      <c r="D22" s="270">
        <v>9338.8799999999992</v>
      </c>
      <c r="E22" s="270">
        <v>9685.44</v>
      </c>
      <c r="F22" s="270">
        <v>10046.592000000001</v>
      </c>
      <c r="G22" s="270">
        <v>10418.688</v>
      </c>
      <c r="H22" s="271">
        <f t="shared" si="0"/>
        <v>48492.864000000009</v>
      </c>
      <c r="I22" s="270" t="s">
        <v>258</v>
      </c>
    </row>
    <row r="23" spans="1:11" ht="47.25">
      <c r="A23" s="368"/>
      <c r="B23" s="47" t="s">
        <v>267</v>
      </c>
      <c r="C23" s="270">
        <v>4027.7759999999998</v>
      </c>
      <c r="D23" s="270">
        <v>4177.92</v>
      </c>
      <c r="E23" s="270">
        <v>4332.96</v>
      </c>
      <c r="F23" s="270">
        <v>4494.5280000000002</v>
      </c>
      <c r="G23" s="270">
        <v>4660.9920000000002</v>
      </c>
      <c r="H23" s="271">
        <f t="shared" si="0"/>
        <v>21694.175999999999</v>
      </c>
      <c r="I23" s="270" t="s">
        <v>258</v>
      </c>
    </row>
    <row r="24" spans="1:11" ht="47.25">
      <c r="A24" s="368"/>
      <c r="B24" s="273" t="s">
        <v>268</v>
      </c>
      <c r="C24" s="274">
        <v>9477.1200000000008</v>
      </c>
      <c r="D24" s="274">
        <v>9830.4</v>
      </c>
      <c r="E24" s="274">
        <v>10195.200000000001</v>
      </c>
      <c r="F24" s="274">
        <v>10575.36</v>
      </c>
      <c r="G24" s="274">
        <v>10967.04</v>
      </c>
      <c r="H24" s="275">
        <f t="shared" si="0"/>
        <v>51045.120000000003</v>
      </c>
      <c r="I24" s="270" t="s">
        <v>258</v>
      </c>
    </row>
    <row r="25" spans="1:11" ht="47.25">
      <c r="A25" s="368"/>
      <c r="B25" s="273" t="s">
        <v>269</v>
      </c>
      <c r="C25" s="274">
        <v>13504.896000000001</v>
      </c>
      <c r="D25" s="274">
        <v>14008.32</v>
      </c>
      <c r="E25" s="274">
        <v>14528.16</v>
      </c>
      <c r="F25" s="274">
        <v>15069.888000000001</v>
      </c>
      <c r="G25" s="274">
        <v>15628.031999999999</v>
      </c>
      <c r="H25" s="275">
        <f t="shared" si="0"/>
        <v>72739.296000000002</v>
      </c>
      <c r="I25" s="270" t="s">
        <v>261</v>
      </c>
      <c r="J25" s="12">
        <f>C25*1000/2468/8</f>
        <v>684</v>
      </c>
    </row>
    <row r="26" spans="1:11" ht="47.25">
      <c r="A26" s="368"/>
      <c r="B26" s="276" t="s">
        <v>270</v>
      </c>
      <c r="C26" s="274">
        <v>60890.495999999999</v>
      </c>
      <c r="D26" s="274">
        <v>63160.32</v>
      </c>
      <c r="E26" s="274">
        <v>65504.160000000003</v>
      </c>
      <c r="F26" s="274">
        <v>67946.687999999995</v>
      </c>
      <c r="G26" s="274">
        <v>70463.232000000004</v>
      </c>
      <c r="H26" s="275">
        <f t="shared" si="0"/>
        <v>327964.89600000001</v>
      </c>
      <c r="I26" s="270" t="s">
        <v>261</v>
      </c>
    </row>
    <row r="27" spans="1:11" ht="47.25">
      <c r="A27" s="368"/>
      <c r="B27" s="273" t="s">
        <v>271</v>
      </c>
      <c r="C27" s="274">
        <v>7107.84</v>
      </c>
      <c r="D27" s="274">
        <v>7372.8</v>
      </c>
      <c r="E27" s="274">
        <v>7646.4</v>
      </c>
      <c r="F27" s="274">
        <v>7931.52</v>
      </c>
      <c r="G27" s="274">
        <v>8225.2800000000007</v>
      </c>
      <c r="H27" s="275">
        <f t="shared" si="0"/>
        <v>38283.840000000004</v>
      </c>
      <c r="I27" s="270" t="s">
        <v>261</v>
      </c>
    </row>
    <row r="28" spans="1:11" ht="47.25">
      <c r="A28" s="368"/>
      <c r="B28" s="276" t="s">
        <v>272</v>
      </c>
      <c r="C28" s="274">
        <v>8292.48</v>
      </c>
      <c r="D28" s="274">
        <v>8601.6</v>
      </c>
      <c r="E28" s="274">
        <v>8920.7999999999993</v>
      </c>
      <c r="F28" s="274">
        <v>9253.44</v>
      </c>
      <c r="G28" s="274">
        <v>9596.16</v>
      </c>
      <c r="H28" s="275">
        <f t="shared" si="0"/>
        <v>44664.479999999996</v>
      </c>
      <c r="I28" s="270" t="s">
        <v>261</v>
      </c>
    </row>
    <row r="29" spans="1:11" ht="47.25">
      <c r="A29" s="368"/>
      <c r="B29" s="273" t="s">
        <v>273</v>
      </c>
      <c r="C29" s="274">
        <v>14871.519</v>
      </c>
      <c r="D29" s="277">
        <v>29741.124</v>
      </c>
      <c r="E29" s="277">
        <v>29741.124</v>
      </c>
      <c r="F29" s="277">
        <v>29741.124</v>
      </c>
      <c r="G29" s="277">
        <v>29741.124</v>
      </c>
      <c r="H29" s="275">
        <f t="shared" si="0"/>
        <v>133836.01499999998</v>
      </c>
      <c r="I29" s="270" t="s">
        <v>256</v>
      </c>
    </row>
    <row r="30" spans="1:11" ht="47.25">
      <c r="A30" s="368"/>
      <c r="B30" s="273" t="s">
        <v>274</v>
      </c>
      <c r="C30" s="274">
        <v>2706.0479999999998</v>
      </c>
      <c r="D30" s="274">
        <v>5407.92</v>
      </c>
      <c r="E30" s="274">
        <v>5407.92</v>
      </c>
      <c r="F30" s="274">
        <v>5407.92</v>
      </c>
      <c r="G30" s="274">
        <v>5407.92</v>
      </c>
      <c r="H30" s="275">
        <f t="shared" si="0"/>
        <v>24337.727999999996</v>
      </c>
      <c r="I30" s="270" t="s">
        <v>256</v>
      </c>
    </row>
    <row r="31" spans="1:11" ht="47.25">
      <c r="A31" s="368"/>
      <c r="B31" s="273" t="s">
        <v>275</v>
      </c>
      <c r="C31" s="274">
        <v>598.995</v>
      </c>
      <c r="D31" s="274">
        <v>1196.076</v>
      </c>
      <c r="E31" s="274">
        <v>1196.076</v>
      </c>
      <c r="F31" s="274">
        <v>1196.076</v>
      </c>
      <c r="G31" s="274">
        <v>1196.076</v>
      </c>
      <c r="H31" s="275">
        <f t="shared" si="0"/>
        <v>5383.299</v>
      </c>
      <c r="I31" s="270" t="s">
        <v>256</v>
      </c>
      <c r="K31" s="12"/>
    </row>
    <row r="32" spans="1:11" ht="47.25">
      <c r="A32" s="368"/>
      <c r="B32" s="273" t="s">
        <v>276</v>
      </c>
      <c r="C32" s="274">
        <v>4378.5360000000001</v>
      </c>
      <c r="D32" s="277">
        <v>17488.044000000002</v>
      </c>
      <c r="E32" s="277">
        <v>17488.044000000002</v>
      </c>
      <c r="F32" s="277">
        <v>17488.044000000002</v>
      </c>
      <c r="G32" s="277">
        <v>17488.044000000002</v>
      </c>
      <c r="H32" s="275">
        <f t="shared" si="0"/>
        <v>74330.712</v>
      </c>
      <c r="I32" s="270" t="s">
        <v>256</v>
      </c>
      <c r="J32" t="s">
        <v>277</v>
      </c>
    </row>
    <row r="33" spans="1:9">
      <c r="A33" s="368"/>
      <c r="B33" s="278" t="s">
        <v>18</v>
      </c>
      <c r="C33" s="279">
        <f t="shared" ref="C33:H33" si="1">SUM(C14:C32)</f>
        <v>183192.28200000001</v>
      </c>
      <c r="D33" s="279">
        <f t="shared" si="1"/>
        <v>220458.44400000002</v>
      </c>
      <c r="E33" s="279">
        <f t="shared" si="1"/>
        <v>226641.804</v>
      </c>
      <c r="F33" s="279">
        <f t="shared" si="1"/>
        <v>233085.516</v>
      </c>
      <c r="G33" s="279">
        <f t="shared" si="1"/>
        <v>239724.49200000006</v>
      </c>
      <c r="H33" s="279">
        <f t="shared" si="1"/>
        <v>1103102.5379999999</v>
      </c>
      <c r="I33" s="279"/>
    </row>
    <row r="34" spans="1:9" ht="31.5">
      <c r="B34" s="280" t="s">
        <v>278</v>
      </c>
    </row>
  </sheetData>
  <mergeCells count="5">
    <mergeCell ref="A1:H1"/>
    <mergeCell ref="A4:H11"/>
    <mergeCell ref="A12:B12"/>
    <mergeCell ref="A13:A33"/>
    <mergeCell ref="B13:H13"/>
  </mergeCells>
  <pageMargins left="0.70866141732283472" right="0.70866141732283472" top="0.74803149606299213" bottom="0.74803149606299213" header="0.31496062992125984" footer="0.31496062992125984"/>
  <pageSetup paperSize="9" scale="2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J9"/>
  <sheetViews>
    <sheetView workbookViewId="0">
      <selection activeCell="J31" sqref="J31"/>
    </sheetView>
  </sheetViews>
  <sheetFormatPr defaultColWidth="8.85546875" defaultRowHeight="15"/>
  <cols>
    <col min="3" max="3" width="12" bestFit="1" customWidth="1"/>
    <col min="4" max="5" width="9.140625"/>
    <col min="6" max="6" width="15.42578125" bestFit="1" customWidth="1"/>
    <col min="7" max="7" width="12" bestFit="1" customWidth="1"/>
    <col min="8" max="8" width="15.42578125" bestFit="1" customWidth="1"/>
    <col min="9" max="9" width="11.42578125" customWidth="1"/>
    <col min="10" max="10" width="15.42578125" bestFit="1" customWidth="1"/>
  </cols>
  <sheetData>
    <row r="2" spans="1:10">
      <c r="A2" s="428" t="s">
        <v>279</v>
      </c>
      <c r="B2" s="428"/>
      <c r="C2" s="429" t="s">
        <v>280</v>
      </c>
      <c r="D2" s="429"/>
      <c r="E2" s="429"/>
      <c r="F2" s="429"/>
      <c r="G2" s="430" t="s">
        <v>281</v>
      </c>
      <c r="H2" s="430"/>
      <c r="I2" s="430" t="s">
        <v>282</v>
      </c>
      <c r="J2" s="430"/>
    </row>
    <row r="3" spans="1:10" s="135" customFormat="1" ht="60">
      <c r="A3" s="428"/>
      <c r="B3" s="428"/>
      <c r="C3" s="281" t="s">
        <v>283</v>
      </c>
      <c r="D3" s="281" t="s">
        <v>284</v>
      </c>
      <c r="E3" s="281" t="s">
        <v>285</v>
      </c>
      <c r="F3" s="281" t="s">
        <v>286</v>
      </c>
      <c r="G3" s="281" t="s">
        <v>283</v>
      </c>
      <c r="H3" s="281" t="s">
        <v>287</v>
      </c>
      <c r="I3" s="281" t="s">
        <v>288</v>
      </c>
      <c r="J3" s="281" t="s">
        <v>289</v>
      </c>
    </row>
    <row r="4" spans="1:10">
      <c r="A4" s="282" t="s">
        <v>290</v>
      </c>
      <c r="B4" s="282" t="s">
        <v>291</v>
      </c>
      <c r="C4" s="283">
        <f>2464*12</f>
        <v>29568</v>
      </c>
      <c r="D4" s="284">
        <f>C4/C7</f>
        <v>0.87005649717514122</v>
      </c>
      <c r="E4" s="282">
        <v>2468</v>
      </c>
      <c r="F4" s="283">
        <f t="shared" ref="F4:F6" si="0">C4*E4</f>
        <v>72973824</v>
      </c>
      <c r="G4" s="283">
        <f>H4/E4</f>
        <v>13171.2</v>
      </c>
      <c r="H4" s="285">
        <f>H7-H5-H6</f>
        <v>32506521.600000001</v>
      </c>
      <c r="I4" s="286">
        <f>C4-G4</f>
        <v>16396.8</v>
      </c>
      <c r="J4" s="285">
        <f t="shared" ref="J4:J6" si="1">F4-H4</f>
        <v>40467302.399999999</v>
      </c>
    </row>
    <row r="5" spans="1:10">
      <c r="A5" s="282" t="s">
        <v>292</v>
      </c>
      <c r="B5" s="282" t="s">
        <v>293</v>
      </c>
      <c r="C5" s="283">
        <f>328*12</f>
        <v>3936</v>
      </c>
      <c r="D5" s="284">
        <f>C5/C7</f>
        <v>0.11581920903954802</v>
      </c>
      <c r="E5" s="282">
        <v>2468</v>
      </c>
      <c r="F5" s="283">
        <f t="shared" si="0"/>
        <v>9714048</v>
      </c>
      <c r="G5" s="283">
        <f t="shared" ref="G5:G6" si="2">C5-I5</f>
        <v>3148.8</v>
      </c>
      <c r="H5" s="285">
        <f t="shared" ref="H5:H6" si="3">G5*E5</f>
        <v>7771238.4000000004</v>
      </c>
      <c r="I5" s="286">
        <f t="shared" ref="I5:I6" si="4">C5*0.2</f>
        <v>787.2</v>
      </c>
      <c r="J5" s="285">
        <f t="shared" si="1"/>
        <v>1942809.5999999996</v>
      </c>
    </row>
    <row r="6" spans="1:10">
      <c r="A6" s="282" t="s">
        <v>294</v>
      </c>
      <c r="B6" s="282" t="s">
        <v>295</v>
      </c>
      <c r="C6" s="283">
        <f>40*12</f>
        <v>480</v>
      </c>
      <c r="D6" s="284">
        <f>C6/C7</f>
        <v>1.4124293785310734E-2</v>
      </c>
      <c r="E6" s="282">
        <v>2468</v>
      </c>
      <c r="F6" s="283">
        <f t="shared" si="0"/>
        <v>1184640</v>
      </c>
      <c r="G6" s="283">
        <f t="shared" si="2"/>
        <v>384</v>
      </c>
      <c r="H6" s="285">
        <f t="shared" si="3"/>
        <v>947712</v>
      </c>
      <c r="I6" s="286">
        <f t="shared" si="4"/>
        <v>96</v>
      </c>
      <c r="J6" s="285">
        <f t="shared" si="1"/>
        <v>236928</v>
      </c>
    </row>
    <row r="7" spans="1:10">
      <c r="A7" s="431" t="s">
        <v>296</v>
      </c>
      <c r="B7" s="432"/>
      <c r="C7" s="287">
        <f>SUM(C4:C6)</f>
        <v>33984</v>
      </c>
      <c r="D7" s="288">
        <f>SUM(D4:D6)</f>
        <v>1</v>
      </c>
      <c r="E7" s="289" t="s">
        <v>6</v>
      </c>
      <c r="F7" s="287">
        <f>SUM(F4:F6)</f>
        <v>83872512</v>
      </c>
      <c r="G7" s="287">
        <f>SUM(G4:G6)</f>
        <v>16704</v>
      </c>
      <c r="H7" s="290">
        <f>'БП (Тех. поддержка)'!E64*1000</f>
        <v>41225472</v>
      </c>
      <c r="I7" s="291">
        <f>SUM(I4:I6)</f>
        <v>17280</v>
      </c>
      <c r="J7" s="290">
        <f>SUM(J4:J6)</f>
        <v>42647040</v>
      </c>
    </row>
    <row r="8" spans="1:10">
      <c r="G8" s="86"/>
      <c r="J8" s="86"/>
    </row>
    <row r="9" spans="1:10">
      <c r="B9" t="s">
        <v>297</v>
      </c>
    </row>
  </sheetData>
  <mergeCells count="5">
    <mergeCell ref="A2:B3"/>
    <mergeCell ref="C2:F2"/>
    <mergeCell ref="G2:H2"/>
    <mergeCell ref="I2:J2"/>
    <mergeCell ref="A7:B7"/>
  </mergeCells>
  <pageMargins left="0.70866141732283472" right="0.70866141732283472" top="0.74803149606299213" bottom="0.74803149606299213" header="0.31496062992125984" footer="0.31496062992125984"/>
  <pageSetup paperSize="9" scale="84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1"/>
  <sheetViews>
    <sheetView workbookViewId="0">
      <selection activeCell="B8" sqref="B8"/>
    </sheetView>
  </sheetViews>
  <sheetFormatPr defaultColWidth="8.85546875" defaultRowHeight="15"/>
  <cols>
    <col min="1" max="1" width="55.28515625" customWidth="1"/>
    <col min="2" max="2" width="14.42578125" bestFit="1" customWidth="1"/>
    <col min="3" max="3" width="8.42578125" bestFit="1" customWidth="1"/>
    <col min="4" max="4" width="8.140625" bestFit="1" customWidth="1"/>
    <col min="5" max="5" width="14.42578125" bestFit="1" customWidth="1"/>
    <col min="6" max="6" width="10.42578125" bestFit="1" customWidth="1"/>
    <col min="7" max="7" width="8.140625" bestFit="1" customWidth="1"/>
    <col min="8" max="8" width="14.42578125" bestFit="1" customWidth="1"/>
    <col min="9" max="9" width="10.42578125" bestFit="1" customWidth="1"/>
    <col min="10" max="10" width="8.140625" bestFit="1" customWidth="1"/>
  </cols>
  <sheetData>
    <row r="1" spans="1:10" ht="18.75">
      <c r="A1" s="433" t="s">
        <v>298</v>
      </c>
      <c r="B1" s="434"/>
      <c r="C1" s="434"/>
      <c r="D1" s="434"/>
      <c r="E1" s="434"/>
      <c r="F1" s="434"/>
      <c r="G1" s="434"/>
      <c r="H1" s="434"/>
      <c r="I1" s="434"/>
      <c r="J1" s="435"/>
    </row>
    <row r="2" spans="1:10" s="75" customFormat="1">
      <c r="A2" s="436" t="s">
        <v>299</v>
      </c>
      <c r="B2" s="437"/>
      <c r="C2" s="437"/>
      <c r="D2" s="438"/>
      <c r="E2" s="439" t="s">
        <v>300</v>
      </c>
      <c r="F2" s="440"/>
      <c r="G2" s="441"/>
      <c r="H2" s="442" t="s">
        <v>301</v>
      </c>
      <c r="I2" s="443"/>
      <c r="J2" s="444"/>
    </row>
    <row r="3" spans="1:10" s="292" customFormat="1" ht="36">
      <c r="A3" s="293" t="s">
        <v>302</v>
      </c>
      <c r="B3" s="294" t="s">
        <v>303</v>
      </c>
      <c r="C3" s="294" t="s">
        <v>304</v>
      </c>
      <c r="D3" s="295" t="s">
        <v>305</v>
      </c>
      <c r="E3" s="296" t="s">
        <v>303</v>
      </c>
      <c r="F3" s="297" t="s">
        <v>304</v>
      </c>
      <c r="G3" s="298" t="s">
        <v>305</v>
      </c>
      <c r="H3" s="299" t="s">
        <v>303</v>
      </c>
      <c r="I3" s="300" t="s">
        <v>304</v>
      </c>
      <c r="J3" s="301" t="s">
        <v>305</v>
      </c>
    </row>
    <row r="4" spans="1:10" s="302" customFormat="1" ht="24">
      <c r="A4" s="303" t="s">
        <v>269</v>
      </c>
      <c r="B4" s="304">
        <v>13504.896000000001</v>
      </c>
      <c r="C4" s="305">
        <v>2468</v>
      </c>
      <c r="D4" s="306">
        <f>B4*1000/C4/8</f>
        <v>684</v>
      </c>
      <c r="E4" s="307">
        <f>B8-E8</f>
        <v>3553.92</v>
      </c>
      <c r="F4" s="308">
        <v>2468</v>
      </c>
      <c r="G4" s="309">
        <f>E4*1000/F4/8</f>
        <v>180</v>
      </c>
      <c r="H4" s="310">
        <f>B4+E4</f>
        <v>17058.815999999999</v>
      </c>
      <c r="I4" s="311">
        <v>2468</v>
      </c>
      <c r="J4" s="312">
        <f>H4*1000/I4/8</f>
        <v>864</v>
      </c>
    </row>
    <row r="5" spans="1:10">
      <c r="A5" s="313"/>
      <c r="J5" s="314"/>
    </row>
    <row r="6" spans="1:10">
      <c r="A6" s="315" t="s">
        <v>306</v>
      </c>
      <c r="B6" s="316" t="s">
        <v>307</v>
      </c>
      <c r="C6" s="317"/>
      <c r="D6" s="317"/>
      <c r="E6" s="316" t="s">
        <v>308</v>
      </c>
      <c r="F6" s="317"/>
      <c r="G6" s="318"/>
      <c r="H6" s="443" t="s">
        <v>309</v>
      </c>
      <c r="I6" s="443"/>
      <c r="J6" s="444"/>
    </row>
    <row r="7" spans="1:10" s="319" customFormat="1" ht="36">
      <c r="A7" s="320" t="s">
        <v>302</v>
      </c>
      <c r="B7" s="321" t="s">
        <v>303</v>
      </c>
      <c r="C7" s="322" t="s">
        <v>304</v>
      </c>
      <c r="D7" s="323" t="s">
        <v>305</v>
      </c>
      <c r="E7" s="324" t="s">
        <v>303</v>
      </c>
      <c r="F7" s="325" t="s">
        <v>304</v>
      </c>
      <c r="G7" s="326" t="s">
        <v>305</v>
      </c>
      <c r="H7" s="327" t="s">
        <v>303</v>
      </c>
      <c r="I7" s="300" t="s">
        <v>304</v>
      </c>
      <c r="J7" s="301" t="s">
        <v>305</v>
      </c>
    </row>
    <row r="8" spans="1:10" s="302" customFormat="1" ht="24">
      <c r="A8" s="328" t="s">
        <v>310</v>
      </c>
      <c r="B8" s="329">
        <v>7107.84</v>
      </c>
      <c r="C8" s="330">
        <v>2468</v>
      </c>
      <c r="D8" s="331">
        <f>B8*1000/C8/8</f>
        <v>360</v>
      </c>
      <c r="E8" s="332">
        <f>'БП (Тех. поддержка)'!E56</f>
        <v>3553.92</v>
      </c>
      <c r="F8" s="333">
        <v>2468</v>
      </c>
      <c r="G8" s="334">
        <f>E8*1000/F8/8</f>
        <v>180</v>
      </c>
      <c r="H8" s="335">
        <f>B8-E4</f>
        <v>3553.92</v>
      </c>
      <c r="I8" s="311">
        <v>2468</v>
      </c>
      <c r="J8" s="312">
        <f>D8-G4</f>
        <v>180</v>
      </c>
    </row>
    <row r="10" spans="1:10">
      <c r="B10" s="12">
        <f>B8/2</f>
        <v>3553.92</v>
      </c>
    </row>
    <row r="11" spans="1:10">
      <c r="H11">
        <v>3553.92</v>
      </c>
    </row>
  </sheetData>
  <mergeCells count="5">
    <mergeCell ref="A1:J1"/>
    <mergeCell ref="A2:D2"/>
    <mergeCell ref="E2:G2"/>
    <mergeCell ref="H2:J2"/>
    <mergeCell ref="H6:J6"/>
  </mergeCells>
  <pageMargins left="0.70866141732283472" right="0.70866141732283472" top="0.74803149606299213" bottom="0.74803149606299213" header="0.31496062992125984" footer="0.31496062992125984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ИПР Развитие (доработка)_пр</vt:lpstr>
      <vt:lpstr>ИПР </vt:lpstr>
      <vt:lpstr>БП (OPEX внедрение ПРОЕКТОВ)</vt:lpstr>
      <vt:lpstr>БП (Тех. поддержка)</vt:lpstr>
      <vt:lpstr>Клиент-онлайн</vt:lpstr>
      <vt:lpstr>Чистая база 2023_OPEX (зарыт)</vt:lpstr>
      <vt:lpstr>БП (МЭС)</vt:lpstr>
      <vt:lpstr>Расчет ТП МЭС (ОРЦ)</vt:lpstr>
      <vt:lpstr>Расчет ТП Форсаж для ТЭС-не акт</vt:lpstr>
      <vt:lpstr>БП</vt:lpstr>
      <vt:lpstr>Лист1</vt:lpstr>
      <vt:lpstr>'БП (OPEX внедрение ПРОЕКТОВ)'!Область_печати</vt:lpstr>
      <vt:lpstr>'БП (Тех. поддержка)'!Область_печати</vt:lpstr>
      <vt:lpstr>'ИПР Развитие (доработка)_пр'!Область_печати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Клемас Людмила Витаутовна</dc:creator>
  <cp:lastModifiedBy>Воронин Андрей Николаевич</cp:lastModifiedBy>
  <cp:revision>33</cp:revision>
  <dcterms:created xsi:type="dcterms:W3CDTF">2006-09-16T00:00:00Z</dcterms:created>
  <dcterms:modified xsi:type="dcterms:W3CDTF">2024-11-21T14:14:47Z</dcterms:modified>
</cp:coreProperties>
</file>